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340" yWindow="4120" windowWidth="3150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99" i="35" l="1"/>
  <c r="P96" i="35"/>
  <c r="D22" i="35"/>
  <c r="I22" i="35"/>
  <c r="K22" i="35"/>
  <c r="M25" i="35"/>
  <c r="K31" i="35"/>
  <c r="M31" i="35"/>
  <c r="O50" i="35"/>
  <c r="O53" i="35"/>
  <c r="K96" i="35"/>
  <c r="K76" i="35"/>
  <c r="K73" i="35"/>
  <c r="D92" i="35"/>
  <c r="F92" i="35"/>
  <c r="M96" i="35"/>
  <c r="C92" i="35"/>
  <c r="I73" i="35"/>
  <c r="J75" i="35"/>
  <c r="J73" i="35"/>
  <c r="I92" i="35"/>
  <c r="B92" i="35"/>
  <c r="G31" i="35"/>
  <c r="I31" i="35"/>
  <c r="K75" i="35"/>
  <c r="O73" i="35"/>
  <c r="I77" i="35"/>
  <c r="O75" i="35"/>
  <c r="O76" i="35"/>
  <c r="O74" i="35"/>
  <c r="O78" i="35"/>
  <c r="D22" i="36"/>
  <c r="F22" i="36"/>
  <c r="G22" i="36"/>
  <c r="J41" i="36"/>
  <c r="D39" i="35"/>
  <c r="G40" i="35"/>
  <c r="I40" i="35"/>
  <c r="K40" i="35"/>
  <c r="M40" i="35"/>
  <c r="M45" i="35"/>
  <c r="N40" i="36"/>
  <c r="N41" i="36"/>
  <c r="M56" i="36"/>
  <c r="I19" i="36"/>
  <c r="K19" i="36"/>
  <c r="M54" i="36"/>
  <c r="Q83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G7" i="35"/>
  <c r="M59" i="35"/>
  <c r="M60" i="35"/>
  <c r="M21" i="35"/>
  <c r="H7" i="35"/>
  <c r="M6" i="36"/>
  <c r="O54" i="36"/>
  <c r="J38" i="36"/>
  <c r="C61" i="35"/>
  <c r="B22" i="36"/>
  <c r="N32" i="36"/>
  <c r="M61" i="35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Q99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<sst xmlns="http://schemas.openxmlformats.org/spreadsheetml/2006/main" count="738" uniqueCount="377">
  <si>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</si>
  <si>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</si>
  <si>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</si>
  <si>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</si>
  <si>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</si>
  <si>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</si>
  <si>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</si>
  <si>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</si>
  <si>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</si>
  <si>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</si>
  <si>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</si>
  <si>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</si>
  <si>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</si>
  <si>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</si>
  <si>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</si>
  <si>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</si>
  <si>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</si>
  <si>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</si>
  <si>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</si>
  <si>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</si>
  <si>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</si>
  <si>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</si>
  <si>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</si>
  <si>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</si>
  <si>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</si>
  <si>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</si>
  <si>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</si>
  <si>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</si>
  <si>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</si>
  <si>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</si>
  <si>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</si>
  <si>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</si>
  <si>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</si>
  <si>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</si>
  <si>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</si>
  <si>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</si>
  <si>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</si>
  <si>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</si>
  <si>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</si>
  <si>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</si>
  <si>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</si>
  <si>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</si>
  <si>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</si>
  <si>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</si>
  <si>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</si>
  <si>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</si>
  <si>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</si>
  <si>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</si>
  <si>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</si>
  <si>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</si>
  <si>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</si>
  <si>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</si>
  <si>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</si>
  <si>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</si>
  <si>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</si>
  <si>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</si>
  <si>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</si>
  <si>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</si>
  <si>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</si>
  <si>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</si>
  <si>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</si>
  <si>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</si>
  <si>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</si>
  <si>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</si>
  <si>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</si>
  <si>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</si>
  <si>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</si>
  <si>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</si>
  <si>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</si>
  <si>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</si>
  <si>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</si>
  <si>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</si>
  <si>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</si>
  <si>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</si>
  <si>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</si>
  <si>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</si>
  <si>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</si>
  <si>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</si>
  <si>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</si>
  <si>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</si>
  <si>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</si>
  <si>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</si>
  <si>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</si>
  <si>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</si>
  <si>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</si>
  <si>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</si>
  <si>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</si>
  <si>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</si>
  <si>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</si>
  <si>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</si>
  <si>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</si>
  <si>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</si>
  <si>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</si>
  <si>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</si>
  <si>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</si>
  <si>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</si>
  <si>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</si>
  <si>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</si>
  <si>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</si>
  <si>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</si>
  <si>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</si>
  <si>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</si>
  <si>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</si>
  <si>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</si>
  <si>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</si>
  <si>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</si>
  <si>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</si>
  <si>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</si>
  <si>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</si>
  <si>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</si>
  <si>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</si>
  <si>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</si>
  <si>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</si>
  <si>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</si>
  <si>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</si>
  <si>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</si>
  <si>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</si>
  <si>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</si>
  <si>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</si>
  <si>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</si>
  <si>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</si>
  <si>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</si>
  <si>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</si>
  <si>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</si>
  <si>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</si>
  <si>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</si>
  <si>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</si>
  <si>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</si>
  <si>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</si>
  <si>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</si>
  <si>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</si>
  <si>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</si>
  <si>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</si>
  <si>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</si>
  <si>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</si>
  <si>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</si>
  <si>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</si>
  <si>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</si>
  <si>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</si>
  <si>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</si>
  <si>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</si>
  <si>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</si>
  <si>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</si>
  <si>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</si>
  <si>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</si>
  <si>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</si>
  <si>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</si>
  <si>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</si>
  <si>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</si>
  <si>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</si>
  <si>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</si>
  <si>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</si>
  <si>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</si>
  <si>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</si>
  <si>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</si>
  <si>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</si>
  <si>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</si>
  <si>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</si>
  <si>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</si>
  <si>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</si>
  <si>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</si>
  <si>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</si>
  <si>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</si>
  <si>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</si>
  <si>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</si>
  <si>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</si>
  <si>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</si>
  <si>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</si>
  <si>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</si>
  <si>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</si>
  <si>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</si>
  <si>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</si>
  <si>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</si>
  <si>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</si>
  <si>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</si>
  <si>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</si>
  <si>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</si>
  <si>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</si>
  <si>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</si>
  <si>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</si>
  <si>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</si>
  <si>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</si>
  <si>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</si>
  <si>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</si>
  <si>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</si>
  <si>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</si>
  <si>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</si>
  <si>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</si>
  <si>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</si>
  <si>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</si>
  <si>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</si>
  <si>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</si>
  <si>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</si>
  <si>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</si>
  <si>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</si>
  <si>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</si>
  <si>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</si>
  <si>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</si>
  <si>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</si>
  <si>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</si>
  <si>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</si>
  <si>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</si>
  <si>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</si>
  <si>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</si>
  <si>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</si>
  <si>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</si>
  <si>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</si>
  <si>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</si>
  <si>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</si>
  <si>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</si>
  <si>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</si>
  <si>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</si>
  <si>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</si>
  <si>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</si>
  <si>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</si>
  <si>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</si>
  <si>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</si>
  <si>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</si>
  <si>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</si>
  <si>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</si>
  <si>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</si>
  <si>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</si>
  <si>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</si>
  <si>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</si>
  <si>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</si>
  <si>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</si>
  <si>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</si>
  <si>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</si>
  <si>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</si>
  <si>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</si>
  <si>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</si>
  <si>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</si>
  <si>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</si>
  <si>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</si>
  <si>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</si>
  <si>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</si>
  <si>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</si>
  <si>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</si>
  <si>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</si>
  <si>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</si>
  <si>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</si>
  <si>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</si>
  <si>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</si>
  <si>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</si>
  <si>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</si>
  <si>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</si>
  <si>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</si>
  <si>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</si>
  <si>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</si>
  <si>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</si>
  <si>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</si>
  <si>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</si>
  <si>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</si>
  <si>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</si>
  <si>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</si>
  <si>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</si>
  <si>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</si>
  <si>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</si>
  <si>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</si>
  <si>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</si>
  <si>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</si>
  <si>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</si>
  <si>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</si>
  <si>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</si>
  <si>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</si>
  <si>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</si>
  <si>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</si>
  <si>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</si>
  <si>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</si>
  <si>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</si>
  <si>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</si>
  <si>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</si>
  <si>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</si>
  <si>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</si>
  <si>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</si>
  <si>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</si>
  <si>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</si>
  <si>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</si>
  <si>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</si>
  <si>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</si>
  <si>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</si>
  <si>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</si>
  <si>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</si>
  <si>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</si>
  <si>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</si>
  <si>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</si>
  <si>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</si>
  <si>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</si>
  <si>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</si>
  <si>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</si>
  <si>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</si>
  <si>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</si>
  <si>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</si>
  <si>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</si>
  <si>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</si>
  <si>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</si>
  <si>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</si>
  <si>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</si>
  <si>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</si>
  <si>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</si>
  <si>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</si>
  <si>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</si>
  <si>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</si>
  <si>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</si>
  <si>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</si>
  <si>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</si>
  <si>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</si>
  <si>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</si>
  <si>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</si>
  <si>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</si>
  <si>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</si>
  <si>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</si>
  <si>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</si>
  <si>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</si>
  <si>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</si>
  <si>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</si>
  <si>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</si>
  <si>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</si>
  <si>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</si>
  <si>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</si>
  <si>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</si>
  <si>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</si>
  <si>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</si>
  <si>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</si>
  <si>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</si>
  <si>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</si>
  <si>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</si>
  <si>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</si>
  <si>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</si>
  <si>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</si>
  <si>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</si>
  <si>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</si>
  <si>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</si>
  <si>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</si>
  <si>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</si>
  <si>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</si>
  <si>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</si>
  <si>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</si>
  <si>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</si>
  <si>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</si>
  <si>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</si>
  <si>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</si>
  <si>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</si>
  <si>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</si>
  <si>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</si>
  <si>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</si>
  <si>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</si>
  <si>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</si>
  <si>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</si>
  <si>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</si>
  <si>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</si>
  <si>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</si>
  <si>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</si>
  <si>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</si>
  <si>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</si>
  <si>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</si>
  <si>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</si>
  <si>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</si>
  <si>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</si>
  <si>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</si>
  <si>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</si>
  <si>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</si>
  <si>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</si>
  <si>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</si>
  <si>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</si>
  <si>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</si>
  <si>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</si>
  <si>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</si>
  <si>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</si>
  <si>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t>ES / CO-FOUNDER ALLOCATIONS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</si>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</sst>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14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2" xfId="0" applyNumberFormat="1" applyFont="1" applyBorder="1" applyAlignment="1">
      <alignment horizontal="center"/>
    </xf>
    <xf numFmtId="0" fontId="55" fillId="0" borderId="132" xfId="0" applyFont="1" applyBorder="1" applyAlignment="1">
      <alignment horizontal="center"/>
    </xf>
    <xf numFmtId="169" fontId="55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7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7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6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6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7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0" fontId="9" fillId="0" borderId="39" xfId="0" applyFont="1" applyBorder="1" applyAlignment="1">
      <alignment horizontal="center"/>
    </xf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3" fontId="12" fillId="0" borderId="39" xfId="0" applyNumberFormat="1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164" fontId="23" fillId="0" borderId="39" xfId="0" applyNumberFormat="1" applyFont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0" fontId="11" fillId="0" borderId="0" xfId="0" applyFont="1" applyBorder="1" applyAlignment="1">
      <alignment horizontal="right"/>
    </xf>
    <xf numFmtId="10" fontId="76" fillId="0" borderId="0" xfId="0" applyNumberFormat="1" applyFont="1"/>
    <xf numFmtId="10" fontId="76" fillId="0" borderId="0" xfId="0" applyNumberFormat="1" applyFont="1" applyBorder="1" applyAlignment="1">
      <alignment horizontal="left"/>
    </xf>
    <xf numFmtId="0" fontId="76" fillId="0" borderId="0" xfId="0" applyFont="1" applyBorder="1" applyAlignment="1">
      <alignment horizontal="left"/>
    </xf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34" xfId="0" applyFont="1" applyBorder="1"/>
    <xf numFmtId="9" fontId="10" fillId="0" borderId="0" xfId="0" applyNumberFormat="1" applyFont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</cellXfs>
  <cellStyles count="156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205</v>
      </c>
      <c r="J2" s="24" t="s">
        <v>206</v>
      </c>
      <c r="K2" s="180" t="s">
        <v>207</v>
      </c>
    </row>
    <row r="5" spans="3:25" ht="23">
      <c r="C5" s="116" t="s">
        <v>208</v>
      </c>
      <c r="H5" s="306"/>
    </row>
    <row r="6" spans="3:25">
      <c r="T6"/>
      <c r="U6" s="6"/>
      <c r="Y6" s="6"/>
    </row>
    <row r="7" spans="3:25">
      <c r="D7" s="307" t="s">
        <v>209</v>
      </c>
      <c r="E7" s="308" t="s">
        <v>210</v>
      </c>
      <c r="F7" s="309" t="s">
        <v>211</v>
      </c>
      <c r="G7" s="310" t="s">
        <v>212</v>
      </c>
      <c r="H7" s="311" t="s">
        <v>213</v>
      </c>
      <c r="N7" s="5" t="s">
        <v>214</v>
      </c>
      <c r="O7" s="5" t="s">
        <v>214</v>
      </c>
      <c r="P7" s="135" t="s">
        <v>214</v>
      </c>
      <c r="T7"/>
      <c r="U7"/>
      <c r="V7" s="24" t="s">
        <v>215</v>
      </c>
      <c r="Y7" s="312"/>
    </row>
    <row r="8" spans="3:25">
      <c r="D8" s="313" t="s">
        <v>216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217</v>
      </c>
      <c r="O8" s="135" t="s">
        <v>218</v>
      </c>
      <c r="P8" s="5" t="s">
        <v>219</v>
      </c>
      <c r="Q8" s="5"/>
      <c r="R8" t="s">
        <v>220</v>
      </c>
      <c r="T8"/>
      <c r="U8"/>
      <c r="V8" s="24" t="s">
        <v>221</v>
      </c>
      <c r="W8" s="317" t="s">
        <v>222</v>
      </c>
    </row>
    <row r="9" spans="3:25">
      <c r="D9" s="318" t="s">
        <v>223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224</v>
      </c>
      <c r="U9" s="312" t="s">
        <v>225</v>
      </c>
      <c r="V9" s="323">
        <f>P9*R9</f>
        <v>6600000</v>
      </c>
      <c r="W9" s="317"/>
    </row>
    <row r="10" spans="3:25">
      <c r="D10" s="324" t="s">
        <v>226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222</v>
      </c>
    </row>
    <row r="11" spans="3:25">
      <c r="D11" s="313" t="s">
        <v>227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228</v>
      </c>
      <c r="U11" t="s">
        <v>229</v>
      </c>
      <c r="V11" s="323">
        <f>P11*R11</f>
        <v>7000000.0000000009</v>
      </c>
      <c r="W11" s="317"/>
    </row>
    <row r="12" spans="3:25">
      <c r="D12" s="328" t="s">
        <v>230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222</v>
      </c>
    </row>
    <row r="13" spans="3:25">
      <c r="D13" s="332" t="s">
        <v>231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232</v>
      </c>
      <c r="U13" t="s">
        <v>233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222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232</v>
      </c>
      <c r="U15" t="s">
        <v>233</v>
      </c>
      <c r="V15" s="323">
        <f>R15*P15</f>
        <v>19500000</v>
      </c>
      <c r="W15" s="317"/>
    </row>
    <row r="16" spans="3:25" ht="23">
      <c r="C16" s="116" t="s">
        <v>234</v>
      </c>
      <c r="G16" s="6" t="s">
        <v>235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222</v>
      </c>
    </row>
    <row r="17" spans="2:26" ht="23">
      <c r="C17" s="116"/>
      <c r="G17" s="6" t="s">
        <v>236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232</v>
      </c>
      <c r="U17" t="s">
        <v>233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237</v>
      </c>
      <c r="G19" s="5" t="s">
        <v>238</v>
      </c>
      <c r="I19" s="5" t="s">
        <v>239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232</v>
      </c>
      <c r="U19" t="s">
        <v>233</v>
      </c>
      <c r="V19" s="323">
        <f>R19*P19</f>
        <v>32500000</v>
      </c>
      <c r="W19" s="317" t="s">
        <v>222</v>
      </c>
    </row>
    <row r="20" spans="2:26">
      <c r="D20" s="2" t="s">
        <v>240</v>
      </c>
      <c r="E20" s="6"/>
      <c r="F20" s="6" t="s">
        <v>241</v>
      </c>
      <c r="G20" s="5" t="s">
        <v>241</v>
      </c>
      <c r="H20" s="5" t="s">
        <v>242</v>
      </c>
      <c r="I20" s="5" t="s">
        <v>243</v>
      </c>
      <c r="J20" s="5" t="s">
        <v>244</v>
      </c>
      <c r="K20" s="5" t="s">
        <v>245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246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232</v>
      </c>
      <c r="U21" t="s">
        <v>233</v>
      </c>
      <c r="V21" s="323">
        <f>R21*P21</f>
        <v>45500000</v>
      </c>
      <c r="W21" s="317" t="s">
        <v>222</v>
      </c>
      <c r="Y21" s="317"/>
      <c r="Z21" s="10"/>
    </row>
    <row r="22" spans="2:26">
      <c r="B22" s="24"/>
      <c r="C22" s="24"/>
      <c r="D22" s="135"/>
      <c r="E22" t="s">
        <v>247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248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249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250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251</v>
      </c>
      <c r="P26" s="317"/>
      <c r="S26" t="s">
        <v>220</v>
      </c>
      <c r="T26"/>
      <c r="U26" s="135"/>
      <c r="V26" s="10"/>
    </row>
    <row r="27" spans="2:26">
      <c r="D27" s="2" t="s">
        <v>252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253</v>
      </c>
      <c r="Q27" s="344"/>
      <c r="R27" s="344"/>
      <c r="S27" s="345">
        <v>0.42</v>
      </c>
      <c r="T27" s="143" t="s">
        <v>254</v>
      </c>
      <c r="U27" s="143" t="s">
        <v>255</v>
      </c>
      <c r="V27" s="10"/>
    </row>
    <row r="28" spans="2:26">
      <c r="N28" s="348" t="s">
        <v>256</v>
      </c>
      <c r="O28" s="346"/>
      <c r="P28" s="344" t="s">
        <v>257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258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259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260</v>
      </c>
      <c r="T31" s="352" t="s">
        <v>261</v>
      </c>
      <c r="U31" s="338" t="s">
        <v>262</v>
      </c>
      <c r="V31" s="10"/>
    </row>
    <row r="32" spans="2:26" ht="20">
      <c r="C32" s="143" t="s">
        <v>263</v>
      </c>
      <c r="D32" s="143"/>
      <c r="E32" s="434" t="s">
        <v>264</v>
      </c>
      <c r="F32" s="435"/>
      <c r="G32" s="352" t="s">
        <v>265</v>
      </c>
      <c r="H32" s="353" t="s">
        <v>26</v>
      </c>
      <c r="I32" s="5" t="s">
        <v>266</v>
      </c>
      <c r="J32" s="5" t="s">
        <v>266</v>
      </c>
      <c r="K32" s="354" t="s">
        <v>267</v>
      </c>
      <c r="N32" s="317"/>
      <c r="O32" s="5"/>
      <c r="P32" s="349"/>
      <c r="Q32" s="355" t="s">
        <v>268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269</v>
      </c>
      <c r="D33" s="344"/>
      <c r="E33" s="436" t="s">
        <v>241</v>
      </c>
      <c r="F33" s="437"/>
      <c r="G33" s="352" t="s">
        <v>145</v>
      </c>
      <c r="H33" s="353" t="s">
        <v>27</v>
      </c>
      <c r="I33" s="5" t="s">
        <v>244</v>
      </c>
      <c r="J33" s="5" t="s">
        <v>245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270</v>
      </c>
      <c r="V33" s="10"/>
    </row>
    <row r="34" spans="3:22">
      <c r="C34" s="358">
        <v>2.5000000000000001E-2</v>
      </c>
      <c r="D34" s="143"/>
      <c r="E34" s="438">
        <f>G27</f>
        <v>1000000000</v>
      </c>
      <c r="F34" s="437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271</v>
      </c>
      <c r="G36" s="135" t="s">
        <v>26</v>
      </c>
      <c r="H36" s="135" t="s">
        <v>271</v>
      </c>
      <c r="T36"/>
      <c r="U36" s="6"/>
      <c r="V36" s="10"/>
    </row>
    <row r="37" spans="3:22">
      <c r="E37" s="5" t="s">
        <v>272</v>
      </c>
      <c r="G37" s="5" t="s">
        <v>273</v>
      </c>
      <c r="H37" s="5" t="s">
        <v>274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275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276</v>
      </c>
      <c r="P46" s="361"/>
      <c r="U46" s="10" t="s">
        <v>277</v>
      </c>
    </row>
    <row r="47" spans="3:22">
      <c r="U47" s="10" t="s">
        <v>278</v>
      </c>
    </row>
    <row r="48" spans="3:22" ht="23">
      <c r="E48" s="10">
        <f>G48/E52</f>
        <v>0.02</v>
      </c>
      <c r="G48" s="362">
        <v>0.2</v>
      </c>
      <c r="P48" s="361" t="s">
        <v>279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280</v>
      </c>
      <c r="H49" s="364" t="s">
        <v>281</v>
      </c>
      <c r="I49" s="364" t="s">
        <v>281</v>
      </c>
    </row>
    <row r="50" spans="4:23">
      <c r="H50" s="364" t="s">
        <v>171</v>
      </c>
      <c r="I50" s="364" t="s">
        <v>165</v>
      </c>
      <c r="J50" s="2" t="s">
        <v>178</v>
      </c>
      <c r="K50" t="s">
        <v>282</v>
      </c>
    </row>
    <row r="51" spans="4:23">
      <c r="E51" s="135" t="s">
        <v>162</v>
      </c>
      <c r="F51" s="135" t="s">
        <v>163</v>
      </c>
      <c r="G51" s="135" t="s">
        <v>164</v>
      </c>
      <c r="H51" s="364" t="s">
        <v>283</v>
      </c>
      <c r="I51" s="364" t="s">
        <v>284</v>
      </c>
      <c r="J51" s="6"/>
      <c r="L51" t="s">
        <v>169</v>
      </c>
      <c r="M51" s="135" t="str">
        <f>"Discount Rate (" &amp; O52/F52 &amp; "X)"</f>
        <v>Discount Rate (1.2X)</v>
      </c>
      <c r="N51" t="s">
        <v>168</v>
      </c>
      <c r="O51" t="s">
        <v>172</v>
      </c>
      <c r="P51" t="s">
        <v>166</v>
      </c>
      <c r="Q51" t="s">
        <v>285</v>
      </c>
      <c r="R51" s="1" t="s">
        <v>286</v>
      </c>
      <c r="S51" t="s">
        <v>287</v>
      </c>
      <c r="T51" s="6" t="s">
        <v>288</v>
      </c>
      <c r="U51" s="6"/>
      <c r="V51" s="10" t="s">
        <v>289</v>
      </c>
    </row>
    <row r="52" spans="4:23" ht="20">
      <c r="D52" s="12" t="s">
        <v>290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179</v>
      </c>
      <c r="K54" s="369" t="s">
        <v>291</v>
      </c>
      <c r="U54" s="6"/>
      <c r="V54" s="10"/>
    </row>
    <row r="55" spans="4:23">
      <c r="E55" s="1"/>
      <c r="G55" s="1"/>
      <c r="J55" s="6"/>
      <c r="L55" s="135" t="s">
        <v>156</v>
      </c>
      <c r="M55" s="135" t="s">
        <v>167</v>
      </c>
      <c r="N55" t="s">
        <v>170</v>
      </c>
      <c r="O55" t="s">
        <v>172</v>
      </c>
      <c r="P55" t="s">
        <v>166</v>
      </c>
      <c r="Q55" t="s">
        <v>285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180</v>
      </c>
      <c r="K58" t="s">
        <v>292</v>
      </c>
      <c r="V58" s="5"/>
    </row>
    <row r="59" spans="4:23">
      <c r="J59" s="6"/>
      <c r="L59" s="135" t="s">
        <v>156</v>
      </c>
      <c r="M59" s="135" t="s">
        <v>167</v>
      </c>
      <c r="N59" t="s">
        <v>170</v>
      </c>
      <c r="O59" t="s">
        <v>172</v>
      </c>
      <c r="P59" t="s">
        <v>166</v>
      </c>
      <c r="Q59" t="s">
        <v>285</v>
      </c>
      <c r="T59" s="6" t="s">
        <v>293</v>
      </c>
      <c r="U59" s="10" t="s">
        <v>294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181</v>
      </c>
      <c r="K62" t="s">
        <v>295</v>
      </c>
      <c r="U62" s="6"/>
      <c r="V62" s="10"/>
      <c r="W62" s="5"/>
    </row>
    <row r="63" spans="4:23">
      <c r="J63" s="6"/>
      <c r="L63" s="135" t="s">
        <v>156</v>
      </c>
      <c r="M63" s="135" t="str">
        <f>"Discount Rate (" &amp; O64/F52 &amp; "X)"</f>
        <v>Discount Rate (1.2X)</v>
      </c>
      <c r="N63" t="s">
        <v>168</v>
      </c>
      <c r="O63" t="s">
        <v>172</v>
      </c>
      <c r="P63" t="s">
        <v>166</v>
      </c>
      <c r="Q63" t="s">
        <v>285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296</v>
      </c>
    </row>
    <row r="71" spans="3:23">
      <c r="G71" s="135" t="s">
        <v>280</v>
      </c>
      <c r="H71" s="364" t="s">
        <v>281</v>
      </c>
      <c r="I71" s="364" t="s">
        <v>281</v>
      </c>
      <c r="J71" s="6"/>
    </row>
    <row r="72" spans="3:23">
      <c r="H72" s="364" t="s">
        <v>171</v>
      </c>
      <c r="I72" s="364" t="s">
        <v>165</v>
      </c>
      <c r="J72" s="2" t="s">
        <v>178</v>
      </c>
      <c r="K72" t="s">
        <v>282</v>
      </c>
    </row>
    <row r="73" spans="3:23">
      <c r="E73" s="135" t="s">
        <v>162</v>
      </c>
      <c r="F73" s="135" t="s">
        <v>163</v>
      </c>
      <c r="G73" s="135" t="s">
        <v>164</v>
      </c>
      <c r="H73" s="364" t="s">
        <v>283</v>
      </c>
      <c r="I73" s="364" t="s">
        <v>284</v>
      </c>
      <c r="J73" s="6"/>
      <c r="L73" t="s">
        <v>169</v>
      </c>
      <c r="M73" s="135" t="str">
        <f>"Discount Rate (" &amp; O74/F74 &amp; "X)"</f>
        <v>Discount Rate (1.2X)</v>
      </c>
      <c r="N73" t="s">
        <v>168</v>
      </c>
      <c r="O73" t="s">
        <v>172</v>
      </c>
      <c r="P73" t="s">
        <v>166</v>
      </c>
      <c r="Q73" t="s">
        <v>285</v>
      </c>
      <c r="R73" s="1" t="s">
        <v>286</v>
      </c>
      <c r="S73" t="s">
        <v>287</v>
      </c>
      <c r="T73" s="6" t="s">
        <v>288</v>
      </c>
      <c r="U73" s="6"/>
      <c r="V73" s="10" t="s">
        <v>289</v>
      </c>
    </row>
    <row r="74" spans="3:23" ht="20">
      <c r="D74" s="12" t="s">
        <v>297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179</v>
      </c>
      <c r="K76" s="369" t="s">
        <v>291</v>
      </c>
      <c r="U76" s="6"/>
      <c r="V76" s="10"/>
    </row>
    <row r="77" spans="3:23">
      <c r="J77" s="6"/>
      <c r="L77" s="135" t="s">
        <v>156</v>
      </c>
      <c r="M77" s="135" t="s">
        <v>167</v>
      </c>
      <c r="N77" t="s">
        <v>170</v>
      </c>
      <c r="O77" t="s">
        <v>172</v>
      </c>
      <c r="P77" t="s">
        <v>166</v>
      </c>
      <c r="Q77" t="s">
        <v>285</v>
      </c>
      <c r="U77" s="6"/>
      <c r="V77" s="10" t="s">
        <v>289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180</v>
      </c>
      <c r="K80" t="s">
        <v>292</v>
      </c>
      <c r="U80" s="6"/>
      <c r="V80" s="10"/>
      <c r="W80" s="5"/>
    </row>
    <row r="81" spans="2:23">
      <c r="J81" s="6"/>
      <c r="L81" s="135" t="s">
        <v>156</v>
      </c>
      <c r="M81" s="135" t="s">
        <v>167</v>
      </c>
      <c r="N81" t="s">
        <v>170</v>
      </c>
      <c r="O81" t="s">
        <v>172</v>
      </c>
      <c r="P81" t="s">
        <v>166</v>
      </c>
      <c r="Q81" t="s">
        <v>285</v>
      </c>
      <c r="U81" s="10" t="s">
        <v>294</v>
      </c>
      <c r="V81" s="10" t="s">
        <v>289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181</v>
      </c>
      <c r="K84" t="s">
        <v>295</v>
      </c>
      <c r="U84" s="6"/>
      <c r="V84" s="10"/>
      <c r="W84" s="5"/>
    </row>
    <row r="85" spans="2:23">
      <c r="L85" s="135" t="s">
        <v>156</v>
      </c>
      <c r="M85" s="135" t="str">
        <f>"Discount Rate (" &amp; O86/F74 &amp; "X)"</f>
        <v>Discount Rate (1.2X)</v>
      </c>
      <c r="N85" t="s">
        <v>168</v>
      </c>
      <c r="O85" t="s">
        <v>172</v>
      </c>
      <c r="P85" t="s">
        <v>166</v>
      </c>
      <c r="Q85" t="s">
        <v>285</v>
      </c>
      <c r="U85" s="6"/>
      <c r="V85" s="10" t="s">
        <v>289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298</v>
      </c>
      <c r="G91" s="317"/>
      <c r="H91" s="317"/>
      <c r="I91" s="317"/>
      <c r="J91"/>
      <c r="K91" s="373">
        <f>T48</f>
        <v>25000000</v>
      </c>
      <c r="L91" s="374" t="s">
        <v>299</v>
      </c>
      <c r="M91" s="4"/>
      <c r="N91" s="4"/>
      <c r="O91" s="4"/>
      <c r="P91" s="4"/>
      <c r="Q91" s="375" t="s">
        <v>300</v>
      </c>
      <c r="R91"/>
      <c r="S91"/>
      <c r="T91" s="6"/>
      <c r="V91"/>
      <c r="W91"/>
    </row>
    <row r="92" spans="2:23" s="10" customFormat="1">
      <c r="B92"/>
      <c r="C92" s="348" t="s">
        <v>301</v>
      </c>
      <c r="D92" s="317"/>
      <c r="E92" s="360" t="s">
        <v>173</v>
      </c>
      <c r="F92" s="353" t="s">
        <v>174</v>
      </c>
      <c r="G92" s="353" t="s">
        <v>175</v>
      </c>
      <c r="H92" s="353" t="s">
        <v>176</v>
      </c>
      <c r="I92" s="353" t="s">
        <v>177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302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182</v>
      </c>
      <c r="N93" s="138" t="s">
        <v>174</v>
      </c>
      <c r="O93" s="380" t="s">
        <v>175</v>
      </c>
      <c r="P93" s="138" t="s">
        <v>176</v>
      </c>
      <c r="Q93" s="264" t="s">
        <v>177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303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184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304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298</v>
      </c>
      <c r="G99"/>
      <c r="H99"/>
      <c r="I99"/>
      <c r="J99"/>
      <c r="K99" s="256"/>
      <c r="L99" s="138"/>
      <c r="M99" s="137" t="s">
        <v>182</v>
      </c>
      <c r="N99" s="138" t="s">
        <v>174</v>
      </c>
      <c r="O99" s="387" t="s">
        <v>175</v>
      </c>
      <c r="P99" s="138" t="s">
        <v>176</v>
      </c>
      <c r="Q99" s="264" t="s">
        <v>177</v>
      </c>
      <c r="R99"/>
      <c r="S99"/>
      <c r="T99" s="6"/>
      <c r="V99"/>
      <c r="W99"/>
    </row>
    <row r="100" spans="2:23" s="10" customFormat="1">
      <c r="B100"/>
      <c r="C100" s="6" t="s">
        <v>301</v>
      </c>
      <c r="D100"/>
      <c r="E100" s="135" t="s">
        <v>173</v>
      </c>
      <c r="F100" s="5" t="s">
        <v>174</v>
      </c>
      <c r="G100" s="388" t="s">
        <v>175</v>
      </c>
      <c r="H100" s="5" t="s">
        <v>176</v>
      </c>
      <c r="I100" s="5" t="s">
        <v>177</v>
      </c>
      <c r="J100"/>
      <c r="K100" s="256"/>
      <c r="L100" s="136" t="s">
        <v>183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302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304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303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221</v>
      </c>
      <c r="M105" s="2" t="s">
        <v>178</v>
      </c>
      <c r="N105" t="s">
        <v>282</v>
      </c>
    </row>
    <row r="106" spans="2:23">
      <c r="D106" s="159">
        <v>10000000</v>
      </c>
      <c r="E106" s="312" t="s">
        <v>305</v>
      </c>
      <c r="F106" s="312"/>
      <c r="G106" s="321">
        <v>0.66</v>
      </c>
      <c r="H106" s="327">
        <f>H101+H102</f>
        <v>0.26400000000000001</v>
      </c>
      <c r="I106" s="312" t="s">
        <v>224</v>
      </c>
      <c r="J106" s="312" t="s">
        <v>225</v>
      </c>
      <c r="K106" s="323">
        <f>D106*G106</f>
        <v>6600000</v>
      </c>
      <c r="L106" s="317" t="s">
        <v>306</v>
      </c>
      <c r="T106"/>
      <c r="U106" s="6"/>
      <c r="V106" s="10"/>
    </row>
    <row r="107" spans="2:23">
      <c r="D107" s="159">
        <v>12500000</v>
      </c>
      <c r="E107" t="s">
        <v>307</v>
      </c>
      <c r="G107" s="23">
        <v>0.48</v>
      </c>
      <c r="H107" s="327">
        <f>I101+G102</f>
        <v>0.24</v>
      </c>
      <c r="I107" t="s">
        <v>308</v>
      </c>
      <c r="J107" t="s">
        <v>309</v>
      </c>
      <c r="K107" s="323">
        <f t="shared" ref="K107:K109" si="10">D107*G107</f>
        <v>6000000</v>
      </c>
      <c r="L107" s="317"/>
      <c r="M107" s="368" t="s">
        <v>179</v>
      </c>
      <c r="N107" s="369" t="s">
        <v>291</v>
      </c>
      <c r="T107"/>
      <c r="U107" s="6"/>
      <c r="V107" s="10"/>
    </row>
    <row r="108" spans="2:23">
      <c r="D108" s="159">
        <v>20000000</v>
      </c>
      <c r="E108" t="s">
        <v>310</v>
      </c>
      <c r="G108" s="23">
        <f>14%+15%</f>
        <v>0.29000000000000004</v>
      </c>
      <c r="H108" s="327">
        <f>G101+H102</f>
        <v>0.28685714285714292</v>
      </c>
      <c r="I108" t="s">
        <v>311</v>
      </c>
      <c r="J108" t="s">
        <v>312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313</v>
      </c>
      <c r="G109" s="23">
        <f>14%+14%</f>
        <v>0.28000000000000003</v>
      </c>
      <c r="H109" s="327">
        <f>G101+I102</f>
        <v>0.28685714285714292</v>
      </c>
      <c r="I109" t="s">
        <v>228</v>
      </c>
      <c r="J109" t="s">
        <v>229</v>
      </c>
      <c r="K109" s="323">
        <f t="shared" si="10"/>
        <v>7000000.0000000009</v>
      </c>
      <c r="L109" s="348" t="s">
        <v>314</v>
      </c>
      <c r="M109" s="2" t="s">
        <v>180</v>
      </c>
      <c r="N109" t="s">
        <v>292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315</v>
      </c>
      <c r="G110" s="23">
        <f>14%+12%</f>
        <v>0.26</v>
      </c>
      <c r="H110" s="327">
        <f>G101+G102</f>
        <v>0.2628571428571429</v>
      </c>
      <c r="I110" t="s">
        <v>232</v>
      </c>
      <c r="J110" t="s">
        <v>233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316</v>
      </c>
      <c r="G111" s="23">
        <f t="shared" ref="G111:G115" si="11">14%+12%</f>
        <v>0.26</v>
      </c>
      <c r="H111" s="327">
        <f>G101+G102</f>
        <v>0.2628571428571429</v>
      </c>
      <c r="I111" t="s">
        <v>232</v>
      </c>
      <c r="J111" t="s">
        <v>233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181</v>
      </c>
      <c r="N111" t="s">
        <v>317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318</v>
      </c>
      <c r="G112" s="23">
        <f t="shared" si="11"/>
        <v>0.26</v>
      </c>
      <c r="H112" s="327">
        <f>G101+G102</f>
        <v>0.2628571428571429</v>
      </c>
      <c r="I112" t="s">
        <v>232</v>
      </c>
      <c r="J112" t="s">
        <v>233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319</v>
      </c>
      <c r="G113" s="23">
        <f t="shared" si="11"/>
        <v>0.26</v>
      </c>
      <c r="H113" s="327">
        <f>G101+G102</f>
        <v>0.2628571428571429</v>
      </c>
      <c r="I113" t="s">
        <v>232</v>
      </c>
      <c r="J113" t="s">
        <v>233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320</v>
      </c>
      <c r="G114" s="23">
        <f t="shared" si="11"/>
        <v>0.26</v>
      </c>
      <c r="H114" s="327">
        <f>G101+G102</f>
        <v>0.2628571428571429</v>
      </c>
      <c r="I114" t="s">
        <v>232</v>
      </c>
      <c r="J114" t="s">
        <v>233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260</v>
      </c>
      <c r="P114" s="348" t="s">
        <v>262</v>
      </c>
      <c r="Q114" s="348" t="s">
        <v>261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321</v>
      </c>
      <c r="G115" s="23">
        <f t="shared" si="11"/>
        <v>0.26</v>
      </c>
      <c r="H115" s="327">
        <f>G101+G102</f>
        <v>0.2628571428571429</v>
      </c>
      <c r="I115" t="s">
        <v>232</v>
      </c>
      <c r="J115" t="s">
        <v>233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322</v>
      </c>
      <c r="H117" s="249">
        <f>F101+F102</f>
        <v>0.42</v>
      </c>
      <c r="I117" t="s">
        <v>254</v>
      </c>
      <c r="J117" t="s">
        <v>255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260</v>
      </c>
      <c r="F119" s="396" t="s">
        <v>262</v>
      </c>
      <c r="G119" s="6" t="s">
        <v>261</v>
      </c>
    </row>
    <row r="120" spans="4:22">
      <c r="D120" s="24" t="s">
        <v>323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324</v>
      </c>
    </row>
    <row r="122" spans="4:22">
      <c r="F122" s="135"/>
    </row>
    <row r="123" spans="4:22">
      <c r="D123" s="24" t="s">
        <v>251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325</v>
      </c>
    </row>
    <row r="125" spans="4:22">
      <c r="D125" s="24"/>
      <c r="F125" s="135"/>
    </row>
    <row r="126" spans="4:22">
      <c r="D126" s="24" t="s">
        <v>258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326</v>
      </c>
    </row>
    <row r="128" spans="4:22">
      <c r="D128" s="24"/>
      <c r="F128" s="135"/>
    </row>
    <row r="129" spans="4:7">
      <c r="D129" s="24" t="s">
        <v>327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328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03"/>
  <sheetViews>
    <sheetView showGridLines="0" tabSelected="1" topLeftCell="A72" workbookViewId="0">
      <selection activeCell="O100" sqref="O100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369</v>
      </c>
    </row>
    <row r="2" spans="1:17" ht="23">
      <c r="A2" s="144"/>
      <c r="B2" s="144"/>
      <c r="G2" s="179" t="s">
        <v>193</v>
      </c>
      <c r="H2" s="179"/>
    </row>
    <row r="3" spans="1:17" ht="23">
      <c r="A3" s="144" t="s">
        <v>113</v>
      </c>
      <c r="B3" s="144"/>
      <c r="G3" s="179"/>
      <c r="H3" s="179"/>
      <c r="Q3" s="521" t="s">
        <v>121</v>
      </c>
    </row>
    <row r="4" spans="1:17" ht="19" thickBot="1">
      <c r="B4" s="522"/>
      <c r="C4" s="523" t="s">
        <v>194</v>
      </c>
      <c r="D4" s="524"/>
      <c r="E4" s="524"/>
      <c r="F4" s="524"/>
      <c r="G4" s="524"/>
      <c r="H4" s="524"/>
      <c r="I4" s="525"/>
      <c r="K4" s="177" t="s">
        <v>114</v>
      </c>
    </row>
    <row r="5" spans="1:17">
      <c r="B5" s="526" t="s">
        <v>24</v>
      </c>
      <c r="C5" s="527"/>
      <c r="D5" s="528"/>
      <c r="E5" s="528"/>
      <c r="F5" s="527"/>
      <c r="G5" s="528"/>
      <c r="H5" s="529" t="s">
        <v>26</v>
      </c>
      <c r="I5" s="530"/>
      <c r="K5" s="531" t="s">
        <v>370</v>
      </c>
    </row>
    <row r="6" spans="1:17">
      <c r="B6" s="532"/>
      <c r="C6" s="431" t="s">
        <v>25</v>
      </c>
      <c r="D6" s="431"/>
      <c r="E6" s="431" t="s">
        <v>27</v>
      </c>
      <c r="F6" s="431"/>
      <c r="G6" s="431" t="s">
        <v>5</v>
      </c>
      <c r="H6" s="533" t="s">
        <v>159</v>
      </c>
      <c r="I6" s="534" t="s">
        <v>158</v>
      </c>
      <c r="K6" s="531" t="s">
        <v>371</v>
      </c>
    </row>
    <row r="7" spans="1:17">
      <c r="B7" s="535" t="s">
        <v>141</v>
      </c>
      <c r="C7" s="536">
        <v>7000000</v>
      </c>
      <c r="D7" s="537"/>
      <c r="E7" s="538">
        <v>5</v>
      </c>
      <c r="F7" s="539"/>
      <c r="G7" s="540">
        <f>E7*C7</f>
        <v>35000000</v>
      </c>
      <c r="H7" s="541">
        <f>1000000000*0.025* 7</f>
        <v>175000000</v>
      </c>
      <c r="I7" s="542" t="s">
        <v>160</v>
      </c>
    </row>
    <row r="8" spans="1:17" ht="19" thickBot="1">
      <c r="B8" s="543"/>
      <c r="C8" s="544"/>
      <c r="D8" s="544"/>
      <c r="E8" s="544"/>
      <c r="F8" s="544"/>
      <c r="G8" s="544"/>
      <c r="H8" s="545"/>
      <c r="I8" s="546"/>
      <c r="L8" s="537"/>
      <c r="M8" s="547" t="s">
        <v>29</v>
      </c>
      <c r="N8" s="548"/>
      <c r="O8" s="549"/>
    </row>
    <row r="9" spans="1:17" ht="33" customHeight="1" thickBot="1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50"/>
    </row>
    <row r="10" spans="1:17" ht="17" customHeight="1">
      <c r="B10" s="551"/>
      <c r="C10" s="527"/>
      <c r="D10" s="527"/>
      <c r="E10" s="527"/>
      <c r="F10" s="527"/>
      <c r="G10" s="527"/>
      <c r="H10" s="527"/>
      <c r="I10" s="527"/>
      <c r="J10" s="527"/>
      <c r="K10" s="552"/>
      <c r="P10" s="553"/>
    </row>
    <row r="11" spans="1:17" ht="20" customHeight="1">
      <c r="B11" s="532"/>
      <c r="D11" s="539"/>
      <c r="E11" s="554"/>
      <c r="F11" s="555"/>
      <c r="G11" s="555"/>
      <c r="H11" s="555"/>
      <c r="I11" s="555"/>
      <c r="J11" s="556"/>
      <c r="K11" s="557"/>
      <c r="P11" s="553"/>
    </row>
    <row r="12" spans="1:17" ht="20" customHeight="1">
      <c r="B12" s="532"/>
      <c r="C12" s="558" t="s">
        <v>142</v>
      </c>
      <c r="D12" s="539"/>
      <c r="E12" s="559"/>
      <c r="F12" s="539"/>
      <c r="G12" s="19" t="s">
        <v>127</v>
      </c>
      <c r="H12" s="539"/>
      <c r="I12" s="560">
        <v>1</v>
      </c>
      <c r="J12" s="561"/>
      <c r="K12" s="557"/>
      <c r="P12" s="553"/>
    </row>
    <row r="13" spans="1:17" ht="20" customHeight="1">
      <c r="B13" s="532"/>
      <c r="C13" s="562" t="s">
        <v>143</v>
      </c>
      <c r="D13" s="539"/>
      <c r="E13" s="559"/>
      <c r="F13" s="539"/>
      <c r="G13" s="133" t="s">
        <v>116</v>
      </c>
      <c r="H13" s="563"/>
      <c r="I13" s="564">
        <v>0.2</v>
      </c>
      <c r="J13" s="561"/>
      <c r="K13" s="557"/>
      <c r="P13" s="553"/>
    </row>
    <row r="14" spans="1:17">
      <c r="B14" s="565" t="s">
        <v>98</v>
      </c>
      <c r="C14" s="566">
        <v>0.02</v>
      </c>
      <c r="D14" s="567"/>
      <c r="E14" s="559"/>
      <c r="F14" s="539"/>
      <c r="G14" s="133" t="s">
        <v>365</v>
      </c>
      <c r="H14" s="273" t="s">
        <v>185</v>
      </c>
      <c r="I14" s="568">
        <v>100000</v>
      </c>
      <c r="J14" s="11"/>
      <c r="K14" s="557"/>
      <c r="M14" s="520" t="s">
        <v>30</v>
      </c>
      <c r="N14" s="520"/>
      <c r="P14" s="553"/>
    </row>
    <row r="15" spans="1:17">
      <c r="B15" s="569"/>
      <c r="D15" s="567"/>
      <c r="E15" s="570"/>
      <c r="F15" s="539"/>
      <c r="G15" s="134" t="s">
        <v>366</v>
      </c>
      <c r="H15" s="273" t="s">
        <v>187</v>
      </c>
      <c r="I15" s="571">
        <v>35000000</v>
      </c>
      <c r="J15" s="561"/>
      <c r="K15" s="557"/>
      <c r="P15" s="553"/>
    </row>
    <row r="16" spans="1:17">
      <c r="B16" s="565" t="s">
        <v>105</v>
      </c>
      <c r="C16" s="566">
        <v>0</v>
      </c>
      <c r="D16" s="567"/>
      <c r="E16" s="570"/>
      <c r="F16" s="539"/>
      <c r="G16" s="133" t="s">
        <v>28</v>
      </c>
      <c r="H16" s="133"/>
      <c r="I16" s="147">
        <v>35000000</v>
      </c>
      <c r="J16" s="561"/>
      <c r="K16" s="557"/>
      <c r="P16" s="553"/>
    </row>
    <row r="17" spans="2:16" ht="9" customHeight="1">
      <c r="B17" s="532"/>
      <c r="C17" s="539"/>
      <c r="D17" s="539"/>
      <c r="E17" s="572"/>
      <c r="F17" s="573"/>
      <c r="G17" s="573"/>
      <c r="H17" s="573"/>
      <c r="I17" s="573"/>
      <c r="J17" s="574"/>
      <c r="K17" s="557"/>
      <c r="P17" s="553"/>
    </row>
    <row r="18" spans="2:16" ht="19" thickBot="1">
      <c r="B18" s="543"/>
      <c r="C18" s="544"/>
      <c r="D18" s="544"/>
      <c r="E18" s="544"/>
      <c r="F18" s="544"/>
      <c r="G18" s="544"/>
      <c r="H18" s="544"/>
      <c r="I18" s="575"/>
      <c r="J18" s="544"/>
      <c r="K18" s="576"/>
      <c r="P18" s="553"/>
    </row>
    <row r="19" spans="2:16">
      <c r="B19" s="577"/>
      <c r="C19" s="578"/>
      <c r="D19" s="578"/>
      <c r="E19" s="578"/>
      <c r="F19" s="578"/>
      <c r="G19" s="578"/>
      <c r="H19" s="578"/>
      <c r="I19" s="579"/>
      <c r="J19" s="578"/>
      <c r="K19" s="578"/>
      <c r="L19" s="580"/>
      <c r="M19" s="580"/>
      <c r="N19" s="580"/>
      <c r="O19" s="581"/>
      <c r="P19" s="16"/>
    </row>
    <row r="20" spans="2:16">
      <c r="B20" s="582" t="s">
        <v>22</v>
      </c>
      <c r="C20" s="578"/>
      <c r="D20" s="578"/>
      <c r="E20" s="578"/>
      <c r="F20" s="578"/>
      <c r="G20" s="583"/>
      <c r="H20" s="583"/>
      <c r="I20" s="584"/>
      <c r="J20" s="578"/>
      <c r="K20" s="578"/>
      <c r="L20" s="578"/>
      <c r="M20" s="578"/>
      <c r="N20" s="578"/>
      <c r="O20" s="578"/>
      <c r="P20" s="16"/>
    </row>
    <row r="21" spans="2:16">
      <c r="B21" s="585" t="s">
        <v>114</v>
      </c>
      <c r="C21" s="578"/>
      <c r="D21" s="578"/>
      <c r="E21" s="578"/>
      <c r="F21" s="578"/>
      <c r="G21" s="145" t="s">
        <v>18</v>
      </c>
      <c r="H21" s="145"/>
      <c r="I21" s="586" t="s">
        <v>2</v>
      </c>
      <c r="J21" s="578"/>
      <c r="K21" s="145" t="s">
        <v>186</v>
      </c>
      <c r="L21" s="578"/>
      <c r="M21" s="587">
        <f>I15/D26</f>
        <v>1.4</v>
      </c>
      <c r="N21" s="578" t="s">
        <v>7</v>
      </c>
      <c r="O21" s="578"/>
      <c r="P21" s="16"/>
    </row>
    <row r="22" spans="2:16">
      <c r="B22" s="577"/>
      <c r="C22" s="588" t="s">
        <v>15</v>
      </c>
      <c r="D22" s="589">
        <f>IF(I15&gt;D26,I15/D26,0)</f>
        <v>1.4</v>
      </c>
      <c r="E22" s="578"/>
      <c r="F22" s="578"/>
      <c r="G22" s="590">
        <f>IF(I15&gt;D26,I14)</f>
        <v>100000</v>
      </c>
      <c r="H22" s="591" t="s">
        <v>7</v>
      </c>
      <c r="I22" s="592">
        <f>IF(I15&gt;D26,D22)</f>
        <v>1.4</v>
      </c>
      <c r="J22" s="586" t="s">
        <v>4</v>
      </c>
      <c r="K22" s="593">
        <f>I14*I22</f>
        <v>140000</v>
      </c>
      <c r="L22" s="586" t="s">
        <v>4</v>
      </c>
      <c r="M22" s="594">
        <f>I14</f>
        <v>100000</v>
      </c>
      <c r="N22" s="595" t="str">
        <f>"  /  " &amp; I15</f>
        <v xml:space="preserve">  /  35000000</v>
      </c>
      <c r="O22" s="578"/>
      <c r="P22" s="16"/>
    </row>
    <row r="23" spans="2:16">
      <c r="B23" s="577"/>
      <c r="C23" s="578" t="s">
        <v>14</v>
      </c>
      <c r="D23" s="595">
        <f>IF(I15&gt;D26,I15-D26,0)</f>
        <v>10000000</v>
      </c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16"/>
    </row>
    <row r="24" spans="2:16">
      <c r="B24" s="577"/>
      <c r="C24" s="578"/>
      <c r="D24" s="595"/>
      <c r="E24" s="578"/>
      <c r="F24" s="578"/>
      <c r="G24" s="578"/>
      <c r="H24" s="578"/>
      <c r="I24" s="578"/>
      <c r="J24" s="578"/>
      <c r="K24" s="578"/>
      <c r="L24" s="578"/>
      <c r="M24" s="145" t="s">
        <v>367</v>
      </c>
      <c r="N24" s="578"/>
      <c r="O24" s="578"/>
      <c r="P24" s="16"/>
    </row>
    <row r="25" spans="2:16">
      <c r="B25" s="577"/>
      <c r="C25" s="578"/>
      <c r="D25" s="578"/>
      <c r="E25" s="596"/>
      <c r="F25" s="596"/>
      <c r="G25" s="596"/>
      <c r="H25" s="596"/>
      <c r="I25" s="596"/>
      <c r="J25" s="596"/>
      <c r="K25" s="596"/>
      <c r="L25" s="596"/>
      <c r="M25" s="9">
        <f>IF(I15&gt;D26, K22/I15,0)</f>
        <v>4.0000000000000001E-3</v>
      </c>
      <c r="N25" s="596"/>
      <c r="O25" s="597"/>
      <c r="P25" s="16"/>
    </row>
    <row r="26" spans="2:16" ht="19" thickBot="1">
      <c r="B26" s="598"/>
      <c r="C26" s="599" t="s">
        <v>372</v>
      </c>
      <c r="D26" s="600">
        <v>25000000</v>
      </c>
      <c r="E26" s="577"/>
      <c r="F26" s="596"/>
      <c r="G26" s="596"/>
      <c r="H26" s="596"/>
      <c r="I26" s="596"/>
      <c r="J26" s="596"/>
      <c r="K26" s="596"/>
      <c r="L26" s="596"/>
      <c r="M26" s="596"/>
      <c r="N26" s="596"/>
      <c r="O26" s="597"/>
      <c r="P26" s="16"/>
    </row>
    <row r="27" spans="2:16">
      <c r="B27" s="532"/>
      <c r="C27" s="527">
        <f>D26/D35</f>
        <v>2.5</v>
      </c>
      <c r="D27" s="528"/>
      <c r="E27" s="601"/>
      <c r="F27" s="602"/>
      <c r="G27" s="603"/>
      <c r="H27" s="603"/>
      <c r="I27" s="603"/>
      <c r="J27" s="603"/>
      <c r="K27" s="603"/>
      <c r="L27" s="603"/>
      <c r="M27" s="603"/>
      <c r="N27" s="603"/>
      <c r="O27" s="604"/>
      <c r="P27" s="16"/>
    </row>
    <row r="28" spans="2:16" hidden="1">
      <c r="B28" s="532"/>
      <c r="D28" s="605" t="s">
        <v>1</v>
      </c>
      <c r="E28" s="606"/>
      <c r="F28" s="606"/>
      <c r="K28" s="607"/>
      <c r="L28" s="608"/>
      <c r="P28" s="16"/>
    </row>
    <row r="29" spans="2:16" hidden="1">
      <c r="B29" s="532"/>
      <c r="D29" s="605" t="s">
        <v>0</v>
      </c>
      <c r="E29" s="606"/>
      <c r="F29" s="606"/>
      <c r="G29" s="605" t="s">
        <v>198</v>
      </c>
      <c r="I29" s="605" t="s">
        <v>197</v>
      </c>
      <c r="K29" s="609" t="s">
        <v>204</v>
      </c>
      <c r="P29" s="16"/>
    </row>
    <row r="30" spans="2:16" hidden="1">
      <c r="B30" s="610" t="s">
        <v>21</v>
      </c>
      <c r="C30" s="605" t="s">
        <v>201</v>
      </c>
      <c r="D30" s="605" t="s">
        <v>1</v>
      </c>
      <c r="E30" s="605"/>
      <c r="F30" s="605"/>
      <c r="G30" s="273" t="s">
        <v>199</v>
      </c>
      <c r="H30" s="431"/>
      <c r="I30" s="611" t="s">
        <v>203</v>
      </c>
      <c r="J30" s="539"/>
      <c r="K30" s="563" t="s">
        <v>361</v>
      </c>
      <c r="L30" s="539"/>
      <c r="M30" s="11" t="s">
        <v>13</v>
      </c>
      <c r="N30" s="431"/>
      <c r="P30" s="16"/>
    </row>
    <row r="31" spans="2:16" hidden="1">
      <c r="B31" s="535" t="s">
        <v>114</v>
      </c>
      <c r="C31" s="612">
        <f>I15</f>
        <v>35000000</v>
      </c>
      <c r="D31" s="613" t="s">
        <v>112</v>
      </c>
      <c r="E31" s="613" t="s">
        <v>99</v>
      </c>
      <c r="F31" s="614"/>
      <c r="G31" s="615">
        <f>I14</f>
        <v>100000</v>
      </c>
      <c r="H31" s="616" t="s">
        <v>200</v>
      </c>
      <c r="I31" s="617">
        <f>I15*(1-I13)</f>
        <v>28000000</v>
      </c>
      <c r="J31" s="606" t="s">
        <v>202</v>
      </c>
      <c r="K31" s="618">
        <f>G31</f>
        <v>100000</v>
      </c>
      <c r="L31" s="606" t="s">
        <v>4</v>
      </c>
      <c r="M31" s="9">
        <f>IF(I15&gt;=D35,K31/I31,0)</f>
        <v>3.5714285714285713E-3</v>
      </c>
      <c r="N31" s="619">
        <f>I15*M31</f>
        <v>125000</v>
      </c>
      <c r="O31" s="620"/>
      <c r="P31" s="16"/>
    </row>
    <row r="32" spans="2:16" hidden="1">
      <c r="B32" s="532"/>
      <c r="D32" s="605" t="s">
        <v>1</v>
      </c>
      <c r="E32" s="605"/>
      <c r="F32" s="605"/>
      <c r="J32" s="539"/>
      <c r="K32" s="539"/>
      <c r="L32" s="539"/>
      <c r="M32" s="539"/>
      <c r="N32" s="440" t="s">
        <v>186</v>
      </c>
      <c r="O32" s="621"/>
      <c r="P32" s="16"/>
    </row>
    <row r="33" spans="2:17" hidden="1">
      <c r="B33" s="532"/>
      <c r="D33" s="605" t="s">
        <v>0</v>
      </c>
      <c r="E33" s="622"/>
      <c r="F33" s="622"/>
      <c r="G33" s="623"/>
      <c r="H33" s="623"/>
      <c r="I33" s="623"/>
      <c r="J33" s="623"/>
      <c r="K33" s="623"/>
      <c r="L33" s="623"/>
      <c r="M33" s="623"/>
      <c r="N33" s="623"/>
      <c r="O33" s="624"/>
      <c r="P33" s="16"/>
    </row>
    <row r="34" spans="2:17" ht="19" hidden="1" thickBot="1">
      <c r="B34" s="543"/>
      <c r="C34" s="544">
        <f>D35/D35</f>
        <v>1</v>
      </c>
      <c r="D34" s="625" t="s">
        <v>1</v>
      </c>
      <c r="E34" s="626"/>
      <c r="F34" s="627"/>
      <c r="G34" s="596"/>
      <c r="H34" s="596"/>
      <c r="I34" s="596"/>
      <c r="J34" s="596"/>
      <c r="K34" s="596"/>
      <c r="L34" s="596"/>
      <c r="M34" s="596"/>
      <c r="N34" s="596"/>
      <c r="O34" s="597"/>
      <c r="P34" s="16"/>
    </row>
    <row r="35" spans="2:17" hidden="1">
      <c r="B35" s="577"/>
      <c r="C35" s="599" t="s">
        <v>373</v>
      </c>
      <c r="D35" s="628">
        <v>10000000</v>
      </c>
      <c r="E35" s="577"/>
      <c r="F35" s="596"/>
      <c r="G35" s="596"/>
      <c r="H35" s="596"/>
      <c r="I35" s="596"/>
      <c r="J35" s="596"/>
      <c r="K35" s="596"/>
      <c r="L35" s="596"/>
      <c r="M35" s="596"/>
      <c r="N35" s="596"/>
      <c r="O35" s="597"/>
      <c r="P35" s="16" t="s">
        <v>6</v>
      </c>
    </row>
    <row r="36" spans="2:17" hidden="1">
      <c r="B36" s="577"/>
      <c r="C36" s="578"/>
      <c r="D36" s="578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78"/>
      <c r="P36" s="16" t="s">
        <v>7</v>
      </c>
    </row>
    <row r="37" spans="2:17" hidden="1">
      <c r="B37" s="582"/>
      <c r="C37" s="578"/>
      <c r="D37" s="578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7"/>
      <c r="P37" s="16" t="s">
        <v>8</v>
      </c>
    </row>
    <row r="38" spans="2:17" hidden="1">
      <c r="B38" s="577"/>
      <c r="C38" s="578"/>
      <c r="D38" s="578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16" t="s">
        <v>9</v>
      </c>
    </row>
    <row r="39" spans="2:17" hidden="1">
      <c r="B39" s="577"/>
      <c r="C39" s="578" t="s">
        <v>12</v>
      </c>
      <c r="D39" s="595">
        <f>IF(D35-I15&gt;0,D35-I15,0)</f>
        <v>0</v>
      </c>
      <c r="E39" s="578"/>
      <c r="F39" s="578"/>
      <c r="G39" s="145" t="s">
        <v>17</v>
      </c>
      <c r="H39" s="145"/>
      <c r="I39" s="586" t="s">
        <v>2</v>
      </c>
      <c r="J39" s="578"/>
      <c r="K39" s="145" t="s">
        <v>186</v>
      </c>
      <c r="L39" s="578"/>
      <c r="M39" s="146" t="s">
        <v>19</v>
      </c>
      <c r="N39" s="578"/>
      <c r="O39" s="578"/>
      <c r="P39" s="16"/>
    </row>
    <row r="40" spans="2:17" hidden="1">
      <c r="B40" s="577"/>
      <c r="C40" s="588" t="s">
        <v>16</v>
      </c>
      <c r="D40" s="629">
        <f>D39/D35</f>
        <v>0</v>
      </c>
      <c r="E40" s="578"/>
      <c r="F40" s="578"/>
      <c r="G40" s="590" t="b">
        <f>IF(D39&gt;0,I14)</f>
        <v>0</v>
      </c>
      <c r="H40" s="591" t="s">
        <v>7</v>
      </c>
      <c r="I40" s="592" t="b">
        <f>IF(G40,1.2)</f>
        <v>0</v>
      </c>
      <c r="J40" s="586" t="s">
        <v>4</v>
      </c>
      <c r="K40" s="593" t="b">
        <f>IF(I40,I14*I40)</f>
        <v>0</v>
      </c>
      <c r="L40" s="586" t="s">
        <v>4</v>
      </c>
      <c r="M40" s="630">
        <f>K40/I15</f>
        <v>0</v>
      </c>
      <c r="N40" s="578"/>
      <c r="O40" s="578"/>
      <c r="P40" s="16" t="s">
        <v>6</v>
      </c>
    </row>
    <row r="41" spans="2:17" hidden="1">
      <c r="B41" s="577"/>
      <c r="C41" s="578"/>
      <c r="D41" s="578"/>
      <c r="E41" s="578"/>
      <c r="F41" s="578"/>
      <c r="G41" s="578"/>
      <c r="H41" s="578"/>
      <c r="I41" s="578"/>
      <c r="J41" s="578"/>
      <c r="K41" s="578"/>
      <c r="L41" s="578"/>
      <c r="M41" s="586"/>
      <c r="N41" s="578"/>
      <c r="O41" s="578"/>
      <c r="P41" s="16" t="s">
        <v>10</v>
      </c>
    </row>
    <row r="42" spans="2:17" hidden="1">
      <c r="B42" s="582" t="s">
        <v>23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86"/>
      <c r="N42" s="578"/>
      <c r="O42" s="578"/>
      <c r="P42" s="16" t="s">
        <v>6</v>
      </c>
    </row>
    <row r="43" spans="2:17" hidden="1">
      <c r="B43" s="585" t="s">
        <v>114</v>
      </c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16" t="s">
        <v>11</v>
      </c>
    </row>
    <row r="44" spans="2:17" hidden="1">
      <c r="B44" s="577"/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146" t="s">
        <v>13</v>
      </c>
      <c r="N44" s="578"/>
      <c r="O44" s="578"/>
      <c r="P44" s="16" t="s">
        <v>9</v>
      </c>
      <c r="Q44" s="521" t="s">
        <v>59</v>
      </c>
    </row>
    <row r="45" spans="2:17" hidden="1">
      <c r="B45" s="577"/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9">
        <f>IF(G40,M40,0)</f>
        <v>0</v>
      </c>
      <c r="N45" s="578"/>
      <c r="O45" s="578"/>
      <c r="P45" s="553"/>
      <c r="Q45" s="631" t="s">
        <v>58</v>
      </c>
    </row>
    <row r="46" spans="2:17" hidden="1">
      <c r="B46" s="577"/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53"/>
      <c r="Q46" s="632">
        <f>O50*I15</f>
        <v>140000</v>
      </c>
    </row>
    <row r="47" spans="2:17" hidden="1">
      <c r="B47" s="577"/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53"/>
      <c r="Q47" s="633" t="str">
        <f>(Q46/I14) &amp; "X"</f>
        <v>1.4X</v>
      </c>
    </row>
    <row r="48" spans="2:17" ht="19" hidden="1" thickBot="1">
      <c r="B48" s="598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634"/>
      <c r="N48" s="634"/>
      <c r="O48" s="634"/>
      <c r="P48" s="553"/>
    </row>
    <row r="49" spans="2:18" hidden="1">
      <c r="B49" s="635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7"/>
      <c r="Q49" s="631" t="s">
        <v>60</v>
      </c>
    </row>
    <row r="50" spans="2:18" hidden="1">
      <c r="B50" s="635"/>
      <c r="C50" s="636"/>
      <c r="D50" s="636"/>
      <c r="E50" s="636"/>
      <c r="F50" s="636"/>
      <c r="G50" s="636"/>
      <c r="H50" s="636"/>
      <c r="I50" s="636"/>
      <c r="J50" s="636"/>
      <c r="K50" s="636"/>
      <c r="L50" s="636"/>
      <c r="M50" s="636"/>
      <c r="N50" s="17" t="s">
        <v>20</v>
      </c>
      <c r="O50" s="638">
        <f>IF(M25&gt;M31,M25,IF(M45&gt;M31,M45,M31))</f>
        <v>4.0000000000000001E-3</v>
      </c>
      <c r="P50" s="637"/>
      <c r="Q50" s="632">
        <f>O50*I16</f>
        <v>140000</v>
      </c>
    </row>
    <row r="51" spans="2:18" ht="19" thickBot="1">
      <c r="B51" s="639"/>
      <c r="C51" s="640"/>
      <c r="D51" s="640"/>
      <c r="E51" s="640"/>
      <c r="F51" s="640"/>
      <c r="G51" s="640"/>
      <c r="H51" s="640"/>
      <c r="I51" s="640"/>
      <c r="J51" s="640"/>
      <c r="K51" s="640"/>
      <c r="L51" s="640"/>
      <c r="M51" s="640"/>
      <c r="N51" s="640"/>
      <c r="O51" s="640"/>
      <c r="P51" s="641"/>
    </row>
    <row r="52" spans="2:18">
      <c r="B52" s="642"/>
      <c r="C52" s="643"/>
      <c r="D52" s="643"/>
      <c r="E52" s="643"/>
      <c r="F52" s="643"/>
      <c r="G52" s="643"/>
      <c r="H52" s="643"/>
      <c r="I52" s="643"/>
      <c r="J52" s="643"/>
      <c r="K52" s="643"/>
      <c r="L52" s="643"/>
      <c r="M52" s="643"/>
      <c r="N52" s="643"/>
      <c r="O52" s="643"/>
      <c r="P52" s="644"/>
    </row>
    <row r="53" spans="2:18">
      <c r="M53" s="336"/>
      <c r="N53" s="631" t="s">
        <v>57</v>
      </c>
      <c r="O53" s="645">
        <f>O50</f>
        <v>4.0000000000000001E-3</v>
      </c>
      <c r="Q53" s="646">
        <f>Q50</f>
        <v>140000</v>
      </c>
      <c r="R53" s="18"/>
    </row>
    <row r="54" spans="2:18" ht="19" thickBot="1">
      <c r="B54" s="336"/>
      <c r="I54" s="647" t="s">
        <v>117</v>
      </c>
      <c r="Q54" s="243" t="str">
        <f>ROUND(Q53/I14,2) &amp; " X"</f>
        <v>1.4 X</v>
      </c>
    </row>
    <row r="55" spans="2:18" ht="38" customHeight="1" thickTop="1" thickBot="1">
      <c r="B55" s="648" t="s">
        <v>46</v>
      </c>
      <c r="C55" s="649"/>
      <c r="D55" s="650"/>
      <c r="E55" s="651"/>
      <c r="F55" s="651"/>
      <c r="G55" s="651"/>
      <c r="H55" s="651"/>
      <c r="I55" s="651"/>
      <c r="J55" s="652"/>
      <c r="K55" s="652"/>
      <c r="L55" s="652"/>
      <c r="M55" s="651"/>
      <c r="N55" s="651"/>
      <c r="O55" s="651"/>
      <c r="P55" s="651"/>
      <c r="Q55" s="651"/>
    </row>
    <row r="56" spans="2:18" ht="19" thickTop="1">
      <c r="B56" s="653"/>
      <c r="C56" s="654"/>
      <c r="D56" s="654"/>
      <c r="E56" s="654"/>
      <c r="F56" s="654"/>
      <c r="G56" s="654"/>
      <c r="H56" s="654"/>
      <c r="I56" s="654"/>
      <c r="J56" s="654"/>
      <c r="K56" s="654"/>
      <c r="L56" s="654"/>
      <c r="M56" s="654"/>
      <c r="N56" s="654"/>
      <c r="O56" s="654"/>
      <c r="P56" s="654"/>
      <c r="Q56" s="655"/>
    </row>
    <row r="57" spans="2:18">
      <c r="B57" s="656"/>
      <c r="C57" s="539"/>
      <c r="D57" s="539"/>
      <c r="E57" s="539"/>
      <c r="F57" s="539"/>
      <c r="G57" s="539"/>
      <c r="H57" s="539"/>
      <c r="I57" s="643"/>
      <c r="J57" s="643"/>
      <c r="K57" s="643"/>
      <c r="L57" s="539"/>
      <c r="M57" s="539"/>
      <c r="N57" s="539"/>
      <c r="O57" s="539"/>
      <c r="P57" s="539"/>
      <c r="Q57" s="657"/>
    </row>
    <row r="58" spans="2:18">
      <c r="B58" s="658"/>
      <c r="C58" s="431" t="s">
        <v>153</v>
      </c>
      <c r="D58" s="539"/>
      <c r="E58" s="539"/>
      <c r="F58" s="539"/>
      <c r="G58" s="539"/>
      <c r="H58" s="539"/>
      <c r="I58" s="643"/>
      <c r="J58" s="659"/>
      <c r="K58" s="659"/>
      <c r="L58" s="660"/>
      <c r="M58" s="660" t="s">
        <v>40</v>
      </c>
      <c r="N58" s="661"/>
      <c r="O58" s="539"/>
      <c r="P58" s="539"/>
      <c r="Q58" s="657"/>
    </row>
    <row r="59" spans="2:18">
      <c r="B59" s="656"/>
      <c r="C59" s="662" t="s">
        <v>144</v>
      </c>
      <c r="D59" s="539"/>
      <c r="E59" s="539"/>
      <c r="F59" s="663"/>
      <c r="G59" s="539"/>
      <c r="H59" s="539"/>
      <c r="I59" s="664"/>
      <c r="J59" s="665"/>
      <c r="K59" s="659"/>
      <c r="L59" s="666" t="s">
        <v>53</v>
      </c>
      <c r="M59" s="433">
        <f>I15</f>
        <v>35000000</v>
      </c>
      <c r="N59" s="667"/>
      <c r="O59" s="539"/>
      <c r="P59" s="539"/>
      <c r="Q59" s="657"/>
    </row>
    <row r="60" spans="2:18">
      <c r="B60" s="656"/>
      <c r="C60" s="668">
        <v>2000000</v>
      </c>
      <c r="D60" s="539"/>
      <c r="E60" s="669"/>
      <c r="F60" s="539"/>
      <c r="G60" s="606"/>
      <c r="H60" s="606"/>
      <c r="I60" s="670"/>
      <c r="J60" s="671"/>
      <c r="K60" s="659"/>
      <c r="L60" s="660" t="s">
        <v>54</v>
      </c>
      <c r="M60" s="153" t="e">
        <f>M59+C60+#REF!</f>
        <v>#REF!</v>
      </c>
      <c r="N60" s="661"/>
      <c r="O60" s="539"/>
      <c r="P60" s="539"/>
      <c r="Q60" s="657"/>
    </row>
    <row r="61" spans="2:18">
      <c r="B61" s="672"/>
      <c r="C61" s="673" t="str">
        <f>TEXT(C60/D35,"###.0%") &amp;" of "&amp;TEXT(D35,"$#,#,#.00")</f>
        <v>20.0% of $10,000,000.00</v>
      </c>
      <c r="D61" s="539"/>
      <c r="E61" s="539"/>
      <c r="F61" s="539"/>
      <c r="G61" s="539"/>
      <c r="H61" s="539"/>
      <c r="I61" s="643"/>
      <c r="J61" s="659"/>
      <c r="K61" s="659"/>
      <c r="L61" s="660" t="s">
        <v>364</v>
      </c>
      <c r="M61" s="153">
        <f>I16</f>
        <v>35000000</v>
      </c>
      <c r="N61" s="661"/>
      <c r="O61" s="539"/>
      <c r="P61" s="539"/>
      <c r="Q61" s="657"/>
    </row>
    <row r="62" spans="2:18">
      <c r="B62" s="672"/>
      <c r="C62" s="674"/>
      <c r="D62" s="539"/>
      <c r="E62" s="539"/>
      <c r="F62" s="669"/>
      <c r="G62" s="606"/>
      <c r="H62" s="606"/>
      <c r="I62" s="675"/>
      <c r="J62" s="671"/>
      <c r="K62" s="659"/>
      <c r="L62" s="676"/>
      <c r="M62" s="677"/>
      <c r="N62" s="661"/>
      <c r="O62" s="539"/>
      <c r="P62" s="539"/>
      <c r="Q62" s="657"/>
    </row>
    <row r="63" spans="2:18">
      <c r="B63" s="656"/>
      <c r="E63" s="19" t="s">
        <v>62</v>
      </c>
      <c r="F63" s="539"/>
      <c r="G63" s="539"/>
      <c r="H63" s="539"/>
      <c r="I63" s="643"/>
      <c r="J63" s="643"/>
      <c r="K63" s="643"/>
      <c r="L63" s="539"/>
      <c r="M63" s="539"/>
      <c r="N63" s="539"/>
      <c r="O63" s="539"/>
      <c r="P63" s="539"/>
      <c r="Q63" s="657"/>
    </row>
    <row r="64" spans="2:18">
      <c r="B64" s="656"/>
      <c r="D64" s="19"/>
      <c r="E64" s="539"/>
      <c r="F64" s="539"/>
      <c r="G64" s="539"/>
      <c r="H64" s="539"/>
      <c r="I64" s="643"/>
      <c r="J64" s="643"/>
      <c r="K64" s="643"/>
      <c r="L64" s="539"/>
      <c r="M64" s="539"/>
      <c r="N64" s="539"/>
      <c r="O64" s="539"/>
      <c r="P64" s="539"/>
      <c r="Q64" s="657"/>
    </row>
    <row r="65" spans="2:17">
      <c r="B65" s="656"/>
      <c r="C65" s="554"/>
      <c r="D65" s="678" t="s">
        <v>36</v>
      </c>
      <c r="E65" s="679"/>
      <c r="F65" s="680"/>
      <c r="G65" s="681" t="s">
        <v>77</v>
      </c>
      <c r="H65" s="681"/>
      <c r="I65" s="682"/>
      <c r="J65" s="682" t="s">
        <v>132</v>
      </c>
      <c r="K65" s="682"/>
      <c r="L65" s="682"/>
      <c r="M65" s="683" t="s">
        <v>368</v>
      </c>
      <c r="N65" s="684" t="s">
        <v>5</v>
      </c>
      <c r="O65" s="685"/>
      <c r="P65" s="539"/>
      <c r="Q65" s="657"/>
    </row>
    <row r="66" spans="2:17">
      <c r="B66" s="656"/>
      <c r="C66" s="686" t="s">
        <v>63</v>
      </c>
      <c r="D66" s="431" t="s">
        <v>38</v>
      </c>
      <c r="E66" s="687"/>
      <c r="F66" s="688"/>
      <c r="G66" s="689" t="s">
        <v>43</v>
      </c>
      <c r="H66" s="689"/>
      <c r="I66" s="690"/>
      <c r="J66" s="440" t="s">
        <v>5</v>
      </c>
      <c r="K66" s="440"/>
      <c r="L66" s="440"/>
      <c r="M66" s="691" t="s">
        <v>27</v>
      </c>
      <c r="N66" s="692"/>
      <c r="O66" s="693"/>
      <c r="P66" s="539"/>
      <c r="Q66" s="657"/>
    </row>
    <row r="67" spans="2:17">
      <c r="B67" s="656"/>
      <c r="C67" s="694">
        <f>I14</f>
        <v>100000</v>
      </c>
      <c r="D67" s="695">
        <f>D35</f>
        <v>10000000</v>
      </c>
      <c r="E67" s="696"/>
      <c r="F67" s="697"/>
      <c r="G67" s="698">
        <v>0.01</v>
      </c>
      <c r="H67" s="698"/>
      <c r="I67" s="699"/>
      <c r="J67" s="700">
        <f>M59*G67</f>
        <v>350000</v>
      </c>
      <c r="K67" s="699"/>
      <c r="L67" s="699"/>
      <c r="M67" s="701" t="str">
        <f>ROUND(J67/C67,2) &amp; "X"</f>
        <v>3.5X</v>
      </c>
      <c r="N67" s="702">
        <f>G67*M61</f>
        <v>350000</v>
      </c>
      <c r="O67" s="703"/>
      <c r="P67" s="539"/>
      <c r="Q67" s="657"/>
    </row>
    <row r="68" spans="2:17">
      <c r="B68" s="656"/>
      <c r="C68" s="539"/>
      <c r="D68" s="539"/>
      <c r="E68" s="539"/>
      <c r="F68" s="539"/>
      <c r="G68" s="539"/>
      <c r="H68" s="539"/>
      <c r="I68" s="643"/>
      <c r="J68" s="643"/>
      <c r="K68" s="643"/>
      <c r="L68" s="539"/>
      <c r="M68" s="539"/>
      <c r="N68" s="539"/>
      <c r="O68" s="539"/>
      <c r="P68" s="539"/>
      <c r="Q68" s="657"/>
    </row>
    <row r="69" spans="2:17">
      <c r="B69" s="704" t="s">
        <v>76</v>
      </c>
      <c r="C69" s="539"/>
      <c r="D69" s="539"/>
      <c r="E69" s="539"/>
      <c r="F69" s="539"/>
      <c r="G69" s="539"/>
      <c r="H69" s="539"/>
      <c r="I69" s="643"/>
      <c r="J69" s="643"/>
      <c r="K69" s="643"/>
      <c r="L69" s="539"/>
      <c r="M69" s="539"/>
      <c r="N69" s="539"/>
      <c r="O69" s="539"/>
      <c r="P69" s="539"/>
      <c r="Q69" s="657"/>
    </row>
    <row r="70" spans="2:17">
      <c r="B70" s="704"/>
      <c r="C70" s="539"/>
      <c r="D70" s="539"/>
      <c r="E70" s="539"/>
      <c r="F70" s="539"/>
      <c r="G70" s="539"/>
      <c r="H70" s="539"/>
      <c r="I70" s="643"/>
      <c r="J70" s="643"/>
      <c r="K70" s="643"/>
      <c r="L70" s="539"/>
      <c r="M70" s="539"/>
      <c r="N70" s="539"/>
      <c r="O70" s="539"/>
      <c r="P70" s="539"/>
      <c r="Q70" s="657"/>
    </row>
    <row r="71" spans="2:17">
      <c r="B71" s="658"/>
      <c r="C71" s="431" t="s">
        <v>64</v>
      </c>
      <c r="D71" s="606" t="s">
        <v>42</v>
      </c>
      <c r="E71" s="539"/>
      <c r="F71" s="606" t="s">
        <v>42</v>
      </c>
      <c r="G71" s="539"/>
      <c r="H71" s="539"/>
      <c r="I71" s="705" t="s">
        <v>47</v>
      </c>
      <c r="J71" s="606"/>
      <c r="K71" s="431" t="s">
        <v>368</v>
      </c>
      <c r="L71" s="539"/>
      <c r="M71" s="431" t="s">
        <v>368</v>
      </c>
      <c r="N71" s="431"/>
      <c r="O71" s="431" t="s">
        <v>368</v>
      </c>
      <c r="P71" s="539"/>
      <c r="Q71" s="706"/>
    </row>
    <row r="72" spans="2:17">
      <c r="B72" s="656"/>
      <c r="C72" s="707" t="s">
        <v>65</v>
      </c>
      <c r="D72" s="606" t="s">
        <v>39</v>
      </c>
      <c r="E72" s="623"/>
      <c r="F72" s="606" t="s">
        <v>41</v>
      </c>
      <c r="G72" s="539"/>
      <c r="H72" s="539"/>
      <c r="I72" s="708" t="s">
        <v>48</v>
      </c>
      <c r="J72" s="708"/>
      <c r="K72" s="431" t="s">
        <v>49</v>
      </c>
      <c r="L72" s="623"/>
      <c r="M72" s="431" t="s">
        <v>50</v>
      </c>
      <c r="N72" s="431"/>
      <c r="O72" s="431" t="s">
        <v>39</v>
      </c>
      <c r="P72" s="539"/>
      <c r="Q72" s="706"/>
    </row>
    <row r="73" spans="2:17">
      <c r="B73" s="656"/>
      <c r="C73" s="709" t="s">
        <v>31</v>
      </c>
      <c r="D73" s="710">
        <v>6000000</v>
      </c>
      <c r="E73" s="711"/>
      <c r="F73" s="712">
        <v>0.75</v>
      </c>
      <c r="G73" s="713"/>
      <c r="H73" s="713"/>
      <c r="I73" s="714">
        <f>F73+F74</f>
        <v>1</v>
      </c>
      <c r="J73" s="715">
        <f>I73-J75-(J76)</f>
        <v>0.8</v>
      </c>
      <c r="K73" s="716">
        <f>J73*F73-(F73*K76)</f>
        <v>0.60000000000000009</v>
      </c>
      <c r="L73" s="711"/>
      <c r="M73" s="717">
        <f>K73*M59</f>
        <v>21000000.000000004</v>
      </c>
      <c r="N73" s="718"/>
      <c r="O73" s="719">
        <f>D73</f>
        <v>6000000</v>
      </c>
      <c r="P73" s="606"/>
      <c r="Q73" s="657"/>
    </row>
    <row r="74" spans="2:17">
      <c r="B74" s="720"/>
      <c r="C74" s="721" t="s">
        <v>32</v>
      </c>
      <c r="D74" s="722">
        <v>2000000</v>
      </c>
      <c r="E74" s="539"/>
      <c r="F74" s="723">
        <v>0.25</v>
      </c>
      <c r="G74" s="431"/>
      <c r="H74" s="431"/>
      <c r="I74" s="724"/>
      <c r="J74" s="724"/>
      <c r="K74" s="725">
        <f>J73*F74-(F74*K76)</f>
        <v>0.2</v>
      </c>
      <c r="L74" s="539"/>
      <c r="M74" s="662">
        <f>K74*M59</f>
        <v>7000000</v>
      </c>
      <c r="N74" s="726"/>
      <c r="O74" s="727">
        <f>D74</f>
        <v>2000000</v>
      </c>
      <c r="P74" s="606"/>
      <c r="Q74" s="657"/>
    </row>
    <row r="75" spans="2:17">
      <c r="B75" s="656"/>
      <c r="C75" s="721" t="s">
        <v>110</v>
      </c>
      <c r="D75" s="539"/>
      <c r="E75" s="728"/>
      <c r="F75" s="723"/>
      <c r="G75" s="606"/>
      <c r="H75" s="606"/>
      <c r="I75" s="729" t="s">
        <v>34</v>
      </c>
      <c r="J75" s="730">
        <f>(G67*Q82)</f>
        <v>0.2</v>
      </c>
      <c r="K75" s="731">
        <f>J75</f>
        <v>0.2</v>
      </c>
      <c r="L75" s="539"/>
      <c r="M75" s="662">
        <f>K75*M59</f>
        <v>7000000</v>
      </c>
      <c r="N75" s="726"/>
      <c r="O75" s="727">
        <f>K75*I77</f>
        <v>1999999.9999999998</v>
      </c>
      <c r="P75" s="606"/>
      <c r="Q75" s="732"/>
    </row>
    <row r="76" spans="2:17" ht="19" thickBot="1">
      <c r="B76" s="656"/>
      <c r="C76" s="733" t="s">
        <v>35</v>
      </c>
      <c r="D76" s="544"/>
      <c r="E76" s="544"/>
      <c r="F76" s="734"/>
      <c r="G76" s="735"/>
      <c r="H76" s="735"/>
      <c r="I76" s="736"/>
      <c r="J76" s="736"/>
      <c r="K76" s="737">
        <f>'ROUND A CAP TABLE'!N54</f>
        <v>0</v>
      </c>
      <c r="L76" s="544"/>
      <c r="M76" s="738">
        <f>K76*M59</f>
        <v>0</v>
      </c>
      <c r="N76" s="739"/>
      <c r="O76" s="740">
        <f>I77*K76</f>
        <v>0</v>
      </c>
      <c r="P76" s="606"/>
      <c r="Q76" s="657"/>
    </row>
    <row r="77" spans="2:17">
      <c r="B77" s="656"/>
      <c r="C77" s="527"/>
      <c r="D77" s="527"/>
      <c r="E77" s="527"/>
      <c r="F77" s="527"/>
      <c r="G77" s="527"/>
      <c r="H77" s="527"/>
      <c r="I77" s="741">
        <f>O73/K73</f>
        <v>9999999.9999999981</v>
      </c>
      <c r="J77" s="742"/>
      <c r="K77" s="743">
        <f>SUM(K73:K76)</f>
        <v>1</v>
      </c>
      <c r="L77" s="539"/>
      <c r="M77" s="744"/>
      <c r="N77" s="744"/>
      <c r="O77" s="745"/>
      <c r="P77" s="539"/>
      <c r="Q77" s="657"/>
    </row>
    <row r="78" spans="2:17">
      <c r="B78" s="656"/>
      <c r="C78" s="539"/>
      <c r="D78" s="728">
        <f>D73+D74</f>
        <v>8000000</v>
      </c>
      <c r="E78" s="539" t="s">
        <v>100</v>
      </c>
      <c r="F78" s="539"/>
      <c r="G78" s="539"/>
      <c r="H78" s="539"/>
      <c r="I78" s="539"/>
      <c r="J78" s="643"/>
      <c r="K78" s="746" t="s">
        <v>56</v>
      </c>
      <c r="L78" s="747"/>
      <c r="M78" s="748">
        <f>SUM(M73:M76)</f>
        <v>35000000</v>
      </c>
      <c r="N78" s="748"/>
      <c r="O78" s="749">
        <f>SUM(O73:O76)</f>
        <v>10000000</v>
      </c>
      <c r="P78" s="539" t="s">
        <v>45</v>
      </c>
      <c r="Q78" s="657"/>
    </row>
    <row r="79" spans="2:17">
      <c r="B79" s="656"/>
      <c r="C79" s="539"/>
      <c r="D79" s="750"/>
      <c r="E79" s="539"/>
      <c r="F79" s="539"/>
      <c r="G79" s="539"/>
      <c r="H79" s="539"/>
      <c r="I79" s="539"/>
      <c r="J79" s="539"/>
      <c r="K79" s="643"/>
      <c r="L79" s="751"/>
      <c r="M79" s="663" t="s">
        <v>152</v>
      </c>
      <c r="N79" s="539"/>
      <c r="O79" s="752">
        <f>M78/O78</f>
        <v>3.5</v>
      </c>
      <c r="P79" s="539" t="s">
        <v>55</v>
      </c>
      <c r="Q79" s="657"/>
    </row>
    <row r="80" spans="2:17">
      <c r="B80" s="704" t="s">
        <v>106</v>
      </c>
      <c r="C80" s="539"/>
      <c r="D80" s="539"/>
      <c r="E80" s="539"/>
      <c r="F80" s="539"/>
      <c r="G80" s="539"/>
      <c r="H80" s="539"/>
      <c r="I80" s="539"/>
      <c r="J80" s="539"/>
      <c r="K80" s="643"/>
      <c r="L80" s="643"/>
      <c r="M80" s="753"/>
      <c r="N80" s="539"/>
      <c r="O80" s="539"/>
      <c r="P80" s="539"/>
      <c r="Q80" s="657"/>
    </row>
    <row r="81" spans="2:19">
      <c r="B81" s="704"/>
      <c r="C81" s="539"/>
      <c r="D81" s="754" t="s">
        <v>51</v>
      </c>
      <c r="E81" s="755"/>
      <c r="F81" s="756" t="s">
        <v>41</v>
      </c>
      <c r="G81" s="755"/>
      <c r="H81" s="755"/>
      <c r="I81" s="142" t="s">
        <v>61</v>
      </c>
      <c r="J81" s="755"/>
      <c r="K81" s="755"/>
      <c r="L81" s="115">
        <f>M61</f>
        <v>35000000</v>
      </c>
      <c r="M81" s="757"/>
      <c r="N81" s="539"/>
      <c r="O81" s="539"/>
      <c r="P81" s="431" t="s">
        <v>115</v>
      </c>
      <c r="Q81" s="657"/>
    </row>
    <row r="82" spans="2:19">
      <c r="B82" s="656"/>
      <c r="C82" s="19" t="s">
        <v>31</v>
      </c>
      <c r="D82" s="758">
        <f>O73</f>
        <v>6000000</v>
      </c>
      <c r="E82" s="759"/>
      <c r="F82" s="760">
        <f>K73</f>
        <v>0.60000000000000009</v>
      </c>
      <c r="G82" s="761"/>
      <c r="H82" s="761"/>
      <c r="I82" s="762"/>
      <c r="J82" s="763"/>
      <c r="K82" s="763"/>
      <c r="L82" s="28">
        <f>F82*L81</f>
        <v>21000000.000000004</v>
      </c>
      <c r="M82" s="764"/>
      <c r="N82" s="539"/>
      <c r="O82" s="663" t="s">
        <v>66</v>
      </c>
      <c r="P82" s="539"/>
      <c r="Q82" s="765">
        <v>20</v>
      </c>
      <c r="S82" s="766">
        <f>Q83*Q82</f>
        <v>400000</v>
      </c>
    </row>
    <row r="83" spans="2:19">
      <c r="B83" s="656"/>
      <c r="C83" s="19" t="s">
        <v>32</v>
      </c>
      <c r="D83" s="767">
        <f>O74</f>
        <v>2000000</v>
      </c>
      <c r="E83" s="755"/>
      <c r="F83" s="768">
        <f>K74</f>
        <v>0.2</v>
      </c>
      <c r="G83" s="769"/>
      <c r="H83" s="769"/>
      <c r="I83" s="142"/>
      <c r="J83" s="755"/>
      <c r="K83" s="755"/>
      <c r="L83" s="27">
        <f>F83*L81</f>
        <v>7000000</v>
      </c>
      <c r="M83" s="757"/>
      <c r="N83" s="539"/>
      <c r="O83" s="521" t="s">
        <v>67</v>
      </c>
      <c r="Q83" s="770">
        <f>'ROUND A CAP TABLE'!F22*'SAFE SERIES ONE'!O78/Q82</f>
        <v>20000</v>
      </c>
      <c r="S83" s="608">
        <f>S82/O78</f>
        <v>0.04</v>
      </c>
    </row>
    <row r="84" spans="2:19">
      <c r="B84" s="656"/>
      <c r="C84" s="19" t="s">
        <v>33</v>
      </c>
      <c r="D84" s="758">
        <f t="shared" ref="D84:D85" si="0">O75</f>
        <v>1999999.9999999998</v>
      </c>
      <c r="E84" s="759"/>
      <c r="F84" s="760">
        <f t="shared" ref="F84:F85" si="1">K75</f>
        <v>0.2</v>
      </c>
      <c r="G84" s="771"/>
      <c r="H84" s="771"/>
      <c r="I84" s="762"/>
      <c r="J84" s="763"/>
      <c r="K84" s="763"/>
      <c r="L84" s="28">
        <f>F84*L81</f>
        <v>7000000</v>
      </c>
      <c r="M84" s="764"/>
      <c r="N84" s="539"/>
      <c r="O84" s="19" t="s">
        <v>188</v>
      </c>
      <c r="P84" s="539"/>
      <c r="Q84" s="772">
        <f>J67</f>
        <v>350000</v>
      </c>
    </row>
    <row r="85" spans="2:19">
      <c r="B85" s="656"/>
      <c r="C85" s="19" t="s">
        <v>52</v>
      </c>
      <c r="D85" s="773">
        <f t="shared" si="0"/>
        <v>0</v>
      </c>
      <c r="E85" s="774"/>
      <c r="F85" s="768">
        <f t="shared" si="1"/>
        <v>0</v>
      </c>
      <c r="G85" s="775"/>
      <c r="H85" s="775"/>
      <c r="I85" s="142"/>
      <c r="J85" s="755"/>
      <c r="K85" s="755"/>
      <c r="L85" s="27">
        <f>F85*L81</f>
        <v>0</v>
      </c>
      <c r="M85" s="757"/>
      <c r="N85" s="539"/>
      <c r="O85" s="663" t="s">
        <v>362</v>
      </c>
      <c r="P85" s="539"/>
      <c r="Q85" s="776" t="str">
        <f>ROUND(Q84/C67,2) &amp; " X"</f>
        <v>3.5 X</v>
      </c>
    </row>
    <row r="86" spans="2:19" ht="19" thickBot="1">
      <c r="B86" s="650"/>
      <c r="C86" s="651"/>
      <c r="D86" s="651"/>
      <c r="E86" s="651"/>
      <c r="F86" s="651"/>
      <c r="G86" s="651"/>
      <c r="H86" s="651"/>
      <c r="I86" s="777"/>
      <c r="J86" s="651"/>
      <c r="K86" s="651"/>
      <c r="L86" s="651"/>
      <c r="M86" s="651"/>
      <c r="N86" s="651"/>
      <c r="O86" s="651"/>
      <c r="P86" s="651"/>
      <c r="Q86" s="778"/>
    </row>
    <row r="87" spans="2:19" ht="19" thickTop="1"/>
    <row r="88" spans="2:19">
      <c r="B88" s="779"/>
      <c r="C88" s="780"/>
      <c r="D88" s="780"/>
      <c r="E88" s="780"/>
      <c r="F88" s="780"/>
      <c r="G88" s="780"/>
      <c r="H88" s="780"/>
      <c r="I88" s="781" t="s">
        <v>102</v>
      </c>
      <c r="J88" s="780"/>
      <c r="K88" s="780"/>
      <c r="L88" s="780"/>
      <c r="M88" s="780"/>
      <c r="N88" s="780"/>
      <c r="O88" s="780"/>
      <c r="P88" s="780"/>
      <c r="Q88" s="782"/>
    </row>
    <row r="89" spans="2:19">
      <c r="B89" s="783"/>
      <c r="C89" s="678"/>
      <c r="D89" s="784"/>
      <c r="E89" s="555"/>
      <c r="F89" s="555"/>
      <c r="G89" s="555"/>
      <c r="H89" s="555"/>
      <c r="I89" s="555"/>
      <c r="J89" s="555"/>
      <c r="K89" s="555"/>
      <c r="L89" s="555"/>
      <c r="M89" s="555"/>
      <c r="N89" s="555"/>
      <c r="O89" s="555"/>
      <c r="P89" s="785"/>
      <c r="Q89" s="786"/>
    </row>
    <row r="90" spans="2:19">
      <c r="B90" s="787" t="s">
        <v>104</v>
      </c>
      <c r="C90" s="606" t="s">
        <v>101</v>
      </c>
      <c r="D90" s="606" t="s">
        <v>71</v>
      </c>
      <c r="E90" s="606"/>
      <c r="F90" s="606" t="s">
        <v>71</v>
      </c>
      <c r="G90" s="606"/>
      <c r="H90" s="606"/>
      <c r="I90" s="606" t="s">
        <v>74</v>
      </c>
      <c r="J90" s="606"/>
      <c r="K90" s="606"/>
      <c r="L90" s="440"/>
      <c r="M90" s="440"/>
      <c r="N90" s="440"/>
      <c r="O90" s="440"/>
      <c r="P90" s="440"/>
      <c r="Q90" s="788"/>
      <c r="S90" s="336"/>
    </row>
    <row r="91" spans="2:19">
      <c r="B91" s="787" t="s">
        <v>44</v>
      </c>
      <c r="C91" s="606" t="s">
        <v>72</v>
      </c>
      <c r="D91" s="606" t="s">
        <v>75</v>
      </c>
      <c r="E91" s="606"/>
      <c r="F91" s="606" t="s">
        <v>70</v>
      </c>
      <c r="G91" s="606"/>
      <c r="H91" s="606"/>
      <c r="I91" s="606" t="s">
        <v>103</v>
      </c>
      <c r="J91" s="606"/>
      <c r="K91" s="606"/>
      <c r="Q91" s="788"/>
      <c r="S91" s="336"/>
    </row>
    <row r="92" spans="2:19" ht="20">
      <c r="B92" s="789">
        <f>C16</f>
        <v>0</v>
      </c>
      <c r="C92" s="812">
        <f>C14</f>
        <v>0.02</v>
      </c>
      <c r="D92" s="813">
        <f>K73/F73</f>
        <v>0.80000000000000016</v>
      </c>
      <c r="E92" s="813"/>
      <c r="F92" s="796">
        <f>C92*D92</f>
        <v>1.6000000000000004E-2</v>
      </c>
      <c r="G92" s="796"/>
      <c r="H92" s="796"/>
      <c r="I92" s="796">
        <f>G67</f>
        <v>0.01</v>
      </c>
      <c r="J92" s="606"/>
      <c r="K92" s="606"/>
      <c r="Q92" s="788"/>
      <c r="R92" s="336"/>
      <c r="S92" s="336"/>
    </row>
    <row r="93" spans="2:19">
      <c r="B93" s="789"/>
      <c r="C93" s="790"/>
      <c r="D93" s="725"/>
      <c r="E93" s="725"/>
      <c r="F93" s="791"/>
      <c r="G93" s="791"/>
      <c r="H93" s="791"/>
      <c r="I93" s="791"/>
      <c r="J93" s="606"/>
      <c r="K93" s="606"/>
      <c r="Q93" s="788"/>
      <c r="R93" s="336"/>
      <c r="S93" s="336"/>
    </row>
    <row r="94" spans="2:19" ht="23">
      <c r="B94" s="789"/>
      <c r="C94" s="790"/>
      <c r="D94" s="725"/>
      <c r="E94" s="725"/>
      <c r="F94" s="791"/>
      <c r="G94" s="791"/>
      <c r="H94" s="791"/>
      <c r="I94" s="797"/>
      <c r="J94" s="798"/>
      <c r="K94" s="798"/>
      <c r="L94" s="799"/>
      <c r="M94" s="800"/>
      <c r="N94" s="800"/>
      <c r="O94" s="432"/>
      <c r="P94" s="432"/>
      <c r="Q94" s="801"/>
      <c r="R94" s="336"/>
      <c r="S94" s="336"/>
    </row>
    <row r="95" spans="2:19" ht="23">
      <c r="B95" s="789"/>
      <c r="C95" s="790"/>
      <c r="D95" s="725"/>
      <c r="E95" s="725"/>
      <c r="F95" s="791"/>
      <c r="G95" s="791"/>
      <c r="H95" s="791"/>
      <c r="I95" s="802" t="s">
        <v>374</v>
      </c>
      <c r="J95" s="802"/>
      <c r="K95" s="802"/>
      <c r="L95" s="799"/>
      <c r="M95" s="800" t="s">
        <v>375</v>
      </c>
      <c r="N95" s="800"/>
      <c r="O95" s="432" t="s">
        <v>376</v>
      </c>
      <c r="P95" s="432"/>
      <c r="Q95" s="801"/>
      <c r="R95" s="336"/>
      <c r="S95" s="336"/>
    </row>
    <row r="96" spans="2:19" ht="23">
      <c r="B96" s="789"/>
      <c r="C96" s="790"/>
      <c r="D96" s="725"/>
      <c r="E96" s="725"/>
      <c r="F96" s="791"/>
      <c r="G96" s="791"/>
      <c r="H96" s="791"/>
      <c r="I96" s="179"/>
      <c r="J96" s="179"/>
      <c r="K96" s="803">
        <f>O53</f>
        <v>4.0000000000000001E-3</v>
      </c>
      <c r="L96" s="799"/>
      <c r="M96" s="804">
        <f>F92+I92+B92</f>
        <v>2.6000000000000002E-2</v>
      </c>
      <c r="N96" s="805"/>
      <c r="O96" s="805"/>
      <c r="P96" s="806">
        <f>M96+K96</f>
        <v>3.0000000000000002E-2</v>
      </c>
      <c r="Q96" s="806"/>
      <c r="R96" s="336"/>
      <c r="S96" s="336"/>
    </row>
    <row r="97" spans="2:19" ht="23">
      <c r="B97" s="789"/>
      <c r="C97" s="790"/>
      <c r="D97" s="725"/>
      <c r="E97" s="725"/>
      <c r="F97" s="791"/>
      <c r="G97" s="791"/>
      <c r="H97" s="791"/>
      <c r="I97" s="179"/>
      <c r="J97" s="179"/>
      <c r="K97" s="807"/>
      <c r="L97" s="799"/>
      <c r="M97" s="808"/>
      <c r="N97" s="809"/>
      <c r="O97" s="809"/>
      <c r="P97" s="432"/>
      <c r="Q97" s="801"/>
      <c r="R97" s="336"/>
      <c r="S97" s="336"/>
    </row>
    <row r="98" spans="2:19" ht="23">
      <c r="B98" s="789"/>
      <c r="C98" s="790"/>
      <c r="D98" s="725"/>
      <c r="E98" s="725"/>
      <c r="F98" s="791"/>
      <c r="G98" s="791"/>
      <c r="H98" s="791"/>
      <c r="I98" s="179"/>
      <c r="J98" s="179"/>
      <c r="K98" s="807"/>
      <c r="L98" s="799"/>
      <c r="M98" s="808"/>
      <c r="N98" s="809"/>
      <c r="O98" s="810" t="s">
        <v>73</v>
      </c>
      <c r="P98" s="810"/>
      <c r="Q98" s="811"/>
      <c r="R98" s="336"/>
      <c r="S98" s="336"/>
    </row>
    <row r="99" spans="2:19" ht="23">
      <c r="B99" s="789"/>
      <c r="C99" s="790"/>
      <c r="D99" s="725"/>
      <c r="E99" s="725"/>
      <c r="F99" s="791"/>
      <c r="G99" s="791"/>
      <c r="H99" s="791"/>
      <c r="I99" s="179"/>
      <c r="J99" s="179"/>
      <c r="K99" s="807"/>
      <c r="L99" s="799"/>
      <c r="M99" s="808"/>
      <c r="N99" s="809"/>
      <c r="O99" s="441">
        <f>M61*P96</f>
        <v>1050000</v>
      </c>
      <c r="P99" s="441"/>
      <c r="Q99" s="801" t="str">
        <f>"    " &amp; ROUND(O99/I14,2) &amp; " X "</f>
        <v xml:space="preserve">    10.5 X </v>
      </c>
      <c r="R99" s="336"/>
      <c r="S99" s="336"/>
    </row>
    <row r="100" spans="2:19">
      <c r="B100" s="792"/>
      <c r="C100" s="793"/>
      <c r="D100" s="623"/>
      <c r="E100" s="623"/>
      <c r="F100" s="623"/>
      <c r="G100" s="623"/>
      <c r="H100" s="623"/>
      <c r="I100" s="623"/>
      <c r="J100" s="623"/>
      <c r="K100" s="623"/>
      <c r="L100" s="623"/>
      <c r="M100" s="623"/>
      <c r="N100" s="623"/>
      <c r="O100" s="623"/>
      <c r="P100" s="794"/>
      <c r="Q100" s="795"/>
    </row>
    <row r="102" spans="2:19">
      <c r="C102" s="605"/>
      <c r="D102" s="605"/>
      <c r="E102" s="605"/>
      <c r="F102" s="605"/>
      <c r="G102" s="605"/>
      <c r="H102" s="605" t="s">
        <v>68</v>
      </c>
      <c r="I102" s="605"/>
      <c r="J102" s="605"/>
      <c r="K102" s="605"/>
      <c r="L102" s="605"/>
      <c r="M102" s="605"/>
      <c r="N102" s="605"/>
      <c r="O102" s="605"/>
      <c r="P102" s="605"/>
      <c r="Q102" s="605"/>
    </row>
    <row r="103" spans="2:19">
      <c r="C103" s="605"/>
      <c r="D103" s="605"/>
      <c r="E103" s="605"/>
      <c r="F103" s="605"/>
      <c r="G103" s="605"/>
      <c r="H103" s="605" t="s">
        <v>69</v>
      </c>
      <c r="I103" s="605"/>
      <c r="J103" s="605"/>
      <c r="K103" s="605"/>
      <c r="L103" s="605"/>
      <c r="M103" s="605"/>
      <c r="N103" s="605"/>
      <c r="O103" s="605"/>
      <c r="P103" s="605"/>
      <c r="Q103" s="605"/>
    </row>
  </sheetData>
  <mergeCells count="20">
    <mergeCell ref="I95:K95"/>
    <mergeCell ref="M96:O96"/>
    <mergeCell ref="O90:P90"/>
    <mergeCell ref="O98:P98"/>
    <mergeCell ref="O99:P99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3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113</v>
      </c>
      <c r="M3" s="242" t="s">
        <v>155</v>
      </c>
      <c r="N3" s="7"/>
    </row>
    <row r="4" spans="3:19" ht="23">
      <c r="L4" s="24" t="s">
        <v>157</v>
      </c>
      <c r="M4" s="246">
        <v>25000000</v>
      </c>
      <c r="N4" s="149" t="s">
        <v>154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156</v>
      </c>
      <c r="P6" s="487" t="s">
        <v>135</v>
      </c>
      <c r="Q6" s="488"/>
      <c r="R6" s="489"/>
      <c r="S6" s="7"/>
    </row>
    <row r="7" spans="3:19">
      <c r="P7" s="490"/>
      <c r="Q7" s="491"/>
      <c r="R7" s="492"/>
      <c r="S7" s="7"/>
    </row>
    <row r="8" spans="3:19" ht="16" thickBot="1">
      <c r="P8" s="493"/>
      <c r="Q8" s="494"/>
      <c r="R8" s="495"/>
      <c r="S8" s="7"/>
    </row>
    <row r="9" spans="3:19" ht="58" customHeight="1" thickBot="1">
      <c r="C9" s="127" t="s">
        <v>122</v>
      </c>
      <c r="G9" s="232"/>
      <c r="M9" s="455" t="s">
        <v>81</v>
      </c>
      <c r="N9" s="456"/>
      <c r="O9" s="457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195</v>
      </c>
      <c r="G10" s="296"/>
      <c r="M10" s="458" t="s">
        <v>136</v>
      </c>
      <c r="N10" s="459"/>
      <c r="O10" s="460"/>
      <c r="P10" s="89"/>
      <c r="Q10" s="89"/>
      <c r="R10" s="89"/>
      <c r="S10" s="7"/>
    </row>
    <row r="11" spans="3:19" ht="25">
      <c r="C11" s="157" t="s">
        <v>140</v>
      </c>
      <c r="H11" s="7"/>
      <c r="L11" s="7"/>
      <c r="M11" s="461" t="s">
        <v>31</v>
      </c>
      <c r="N11" s="462"/>
      <c r="O11" s="463"/>
      <c r="P11" s="88">
        <f>+P9*N45</f>
        <v>54000000</v>
      </c>
      <c r="Q11" s="88">
        <f>+Q9*N45</f>
        <v>90000000</v>
      </c>
      <c r="R11" s="88">
        <f>+R9*N45</f>
        <v>126000000</v>
      </c>
      <c r="S11" s="7"/>
    </row>
    <row r="12" spans="3:19" ht="25">
      <c r="C12" s="157" t="s">
        <v>139</v>
      </c>
      <c r="J12" s="181" t="s">
        <v>190</v>
      </c>
      <c r="L12" s="7"/>
      <c r="M12" s="464"/>
      <c r="N12" s="465"/>
      <c r="O12" s="465"/>
      <c r="P12" s="166"/>
      <c r="Q12" s="166"/>
      <c r="R12" s="167"/>
      <c r="S12" s="7"/>
    </row>
    <row r="13" spans="3:19" ht="23">
      <c r="L13" s="7"/>
      <c r="M13" s="466" t="s">
        <v>137</v>
      </c>
      <c r="N13" s="467"/>
      <c r="O13" s="468"/>
      <c r="P13" s="92"/>
      <c r="Q13" s="92"/>
      <c r="R13" s="92"/>
      <c r="S13" s="7"/>
    </row>
    <row r="14" spans="3:19" ht="25">
      <c r="J14" s="128" t="s">
        <v>134</v>
      </c>
      <c r="L14" s="7"/>
      <c r="M14" s="469" t="s">
        <v>32</v>
      </c>
      <c r="N14" s="470"/>
      <c r="O14" s="471"/>
      <c r="P14" s="172">
        <f>+P9*N48</f>
        <v>18000000</v>
      </c>
      <c r="Q14" s="172">
        <f>+Q9*N48</f>
        <v>30000000</v>
      </c>
      <c r="R14" s="172">
        <f>+R9*N48</f>
        <v>42000000</v>
      </c>
      <c r="S14" s="7"/>
    </row>
    <row r="15" spans="3:19" ht="23">
      <c r="F15" s="7"/>
      <c r="G15" s="7"/>
      <c r="H15" s="7"/>
      <c r="L15" s="7"/>
      <c r="M15" s="464"/>
      <c r="N15" s="465"/>
      <c r="O15" s="465"/>
      <c r="P15" s="173"/>
      <c r="Q15" s="173"/>
      <c r="R15" s="174"/>
      <c r="S15" s="7"/>
    </row>
    <row r="16" spans="3:19" ht="25">
      <c r="F16" s="7"/>
      <c r="G16" s="7"/>
      <c r="H16" s="7"/>
      <c r="I16" s="508" t="s">
        <v>120</v>
      </c>
      <c r="J16" s="509"/>
      <c r="K16" s="510"/>
      <c r="L16" s="7"/>
      <c r="M16" s="472" t="s">
        <v>90</v>
      </c>
      <c r="N16" s="473"/>
      <c r="O16" s="474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5" t="s">
        <v>111</v>
      </c>
      <c r="N17" s="476"/>
      <c r="O17" s="477"/>
      <c r="P17" s="87">
        <f>+P9*N51</f>
        <v>3000000</v>
      </c>
      <c r="Q17" s="87">
        <f>+Q9*N51</f>
        <v>5000000</v>
      </c>
      <c r="R17" s="87">
        <f>+R9*N51</f>
        <v>7000000</v>
      </c>
      <c r="S17" s="7"/>
    </row>
    <row r="18" spans="2:27" ht="25">
      <c r="D18" s="26" t="s">
        <v>196</v>
      </c>
      <c r="H18" s="7"/>
      <c r="I18" s="129" t="s">
        <v>45</v>
      </c>
      <c r="J18" s="130" t="s">
        <v>44</v>
      </c>
      <c r="K18" s="175" t="s">
        <v>125</v>
      </c>
      <c r="L18" s="7"/>
      <c r="M18" s="464"/>
      <c r="N18" s="465"/>
      <c r="O18" s="465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472" t="s">
        <v>109</v>
      </c>
      <c r="N19" s="473"/>
      <c r="O19" s="474"/>
      <c r="P19" s="90"/>
      <c r="Q19" s="90"/>
      <c r="R19" s="90"/>
      <c r="S19" s="7"/>
    </row>
    <row r="20" spans="2:27" ht="23">
      <c r="C20" s="184" t="s">
        <v>128</v>
      </c>
      <c r="D20" s="185" t="s">
        <v>132</v>
      </c>
      <c r="E20" s="185" t="s">
        <v>133</v>
      </c>
      <c r="F20" s="185" t="s">
        <v>37</v>
      </c>
      <c r="G20" s="186" t="s">
        <v>37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475" t="s">
        <v>111</v>
      </c>
      <c r="N20" s="476"/>
      <c r="O20" s="477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129</v>
      </c>
      <c r="D21" s="188" t="s">
        <v>131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464"/>
      <c r="N21" s="465"/>
      <c r="O21" s="465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4.0000000000000001E-3</v>
      </c>
      <c r="E22" s="191">
        <v>10</v>
      </c>
      <c r="F22" s="192">
        <f>E22*D22</f>
        <v>0.04</v>
      </c>
      <c r="G22" s="193">
        <f>F22*'SAFE SERIES ONE'!O78</f>
        <v>400000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478" t="s">
        <v>89</v>
      </c>
      <c r="N22" s="479"/>
      <c r="O22" s="48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124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481" t="s">
        <v>35</v>
      </c>
      <c r="N23" s="482"/>
      <c r="O23" s="48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464"/>
      <c r="N24" s="465"/>
      <c r="O24" s="465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130</v>
      </c>
      <c r="F25" s="199">
        <f>SUM(F22:F24)</f>
        <v>0.04</v>
      </c>
      <c r="G25" s="200">
        <f>SUM(G22:G24)</f>
        <v>400000</v>
      </c>
      <c r="I25" s="123"/>
      <c r="J25" s="124"/>
      <c r="K25" s="93"/>
      <c r="L25" s="7"/>
      <c r="M25" s="484" t="s">
        <v>88</v>
      </c>
      <c r="N25" s="485"/>
      <c r="O25" s="48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192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146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1" t="s">
        <v>119</v>
      </c>
      <c r="I33" s="512"/>
      <c r="J33" s="513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4"/>
      <c r="I34" s="515"/>
      <c r="J34" s="516"/>
      <c r="K34" s="7"/>
      <c r="L34" s="517" t="s">
        <v>91</v>
      </c>
      <c r="M34" s="518"/>
      <c r="N34" s="519"/>
      <c r="O34" s="109"/>
    </row>
    <row r="35" spans="2:20" ht="36">
      <c r="B35" s="108"/>
      <c r="C35" s="158" t="s">
        <v>138</v>
      </c>
      <c r="D35" s="7"/>
      <c r="E35" s="7"/>
      <c r="F35" s="7"/>
      <c r="G35" s="7"/>
      <c r="H35" s="443" t="s">
        <v>151</v>
      </c>
      <c r="I35" s="446"/>
      <c r="J35" s="29">
        <f>'SAFE SERIES ONE'!D35</f>
        <v>10000000</v>
      </c>
      <c r="K35" s="7"/>
      <c r="L35" s="443" t="s">
        <v>78</v>
      </c>
      <c r="M35" s="446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3" t="s">
        <v>150</v>
      </c>
      <c r="I36" s="446"/>
      <c r="J36" s="29">
        <f>'SAFE SERIES ONE'!C60</f>
        <v>2000000</v>
      </c>
      <c r="K36" s="7"/>
      <c r="L36" s="443" t="s">
        <v>118</v>
      </c>
      <c r="M36" s="439"/>
      <c r="N36" s="29">
        <f>J36</f>
        <v>2000000</v>
      </c>
      <c r="O36" s="300" t="s">
        <v>191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4">
        <f>J37/J41</f>
        <v>0.01</v>
      </c>
      <c r="I37" s="445"/>
      <c r="J37" s="244">
        <f>J36/J35</f>
        <v>0.2</v>
      </c>
      <c r="K37" s="7"/>
      <c r="L37" s="443" t="s">
        <v>147</v>
      </c>
      <c r="M37" s="439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443" t="s">
        <v>149</v>
      </c>
      <c r="I38" s="446"/>
      <c r="J38" s="239">
        <f>J36/J41</f>
        <v>100000</v>
      </c>
      <c r="K38" s="7"/>
      <c r="L38" s="443" t="s">
        <v>123</v>
      </c>
      <c r="M38" s="446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447"/>
      <c r="F39" s="448"/>
      <c r="G39" s="7"/>
      <c r="H39" s="443" t="s">
        <v>148</v>
      </c>
      <c r="I39" s="446"/>
      <c r="J39" s="238">
        <f>D22</f>
        <v>4.0000000000000001E-3</v>
      </c>
      <c r="K39" s="7"/>
      <c r="L39" s="506" t="s">
        <v>79</v>
      </c>
      <c r="M39" s="507"/>
      <c r="N39" s="241">
        <f>+N35+N37</f>
        <v>36000000</v>
      </c>
      <c r="O39" s="109"/>
      <c r="P39" s="7"/>
    </row>
    <row r="40" spans="2:20" ht="23">
      <c r="B40" s="108"/>
      <c r="C40" s="500"/>
      <c r="D40" s="501"/>
      <c r="E40" s="449" t="s">
        <v>97</v>
      </c>
      <c r="F40" s="450"/>
      <c r="G40" s="7"/>
      <c r="H40" s="443"/>
      <c r="I40" s="446"/>
      <c r="J40" s="30"/>
      <c r="K40" s="7"/>
      <c r="L40" s="443" t="s">
        <v>80</v>
      </c>
      <c r="M40" s="446"/>
      <c r="N40" s="30">
        <f>'SAFE SERIES ONE'!O78</f>
        <v>10000000</v>
      </c>
      <c r="O40" s="109"/>
      <c r="P40" s="7"/>
      <c r="T40" s="7"/>
    </row>
    <row r="41" spans="2:20" ht="36" customHeight="1" thickBot="1">
      <c r="B41" s="108"/>
      <c r="C41" s="502"/>
      <c r="D41" s="503"/>
      <c r="E41" s="451"/>
      <c r="F41" s="452"/>
      <c r="G41" s="7"/>
      <c r="H41" s="161"/>
      <c r="I41" s="162" t="s">
        <v>189</v>
      </c>
      <c r="J41" s="160">
        <f>'SAFE SERIES ONE'!Q82</f>
        <v>20</v>
      </c>
      <c r="K41" s="7"/>
      <c r="L41" s="496" t="s">
        <v>107</v>
      </c>
      <c r="M41" s="497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504"/>
      <c r="D42" s="505"/>
      <c r="E42" s="453"/>
      <c r="F42" s="454"/>
      <c r="G42" s="7"/>
      <c r="H42" s="154"/>
      <c r="I42" s="154" t="s">
        <v>363</v>
      </c>
      <c r="J42" s="423"/>
      <c r="K42" s="7"/>
      <c r="L42" s="498" t="s">
        <v>108</v>
      </c>
      <c r="M42" s="499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81</v>
      </c>
      <c r="D43" s="102" t="s">
        <v>82</v>
      </c>
      <c r="E43" s="103" t="s">
        <v>96</v>
      </c>
      <c r="F43" s="103" t="s">
        <v>83</v>
      </c>
      <c r="G43" s="7"/>
      <c r="H43" s="103" t="s">
        <v>95</v>
      </c>
      <c r="I43" s="103" t="s">
        <v>94</v>
      </c>
      <c r="J43" s="103" t="s">
        <v>83</v>
      </c>
      <c r="K43" s="7"/>
      <c r="L43" s="103" t="s">
        <v>93</v>
      </c>
      <c r="M43" s="103" t="s">
        <v>84</v>
      </c>
      <c r="N43" s="103" t="s">
        <v>126</v>
      </c>
      <c r="O43" s="109"/>
      <c r="P43" s="7"/>
      <c r="T43" s="7"/>
    </row>
    <row r="44" spans="2:20" ht="23">
      <c r="B44" s="108"/>
      <c r="C44" s="31" t="s">
        <v>92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85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0.72</v>
      </c>
      <c r="K45" s="7"/>
      <c r="L45" s="277"/>
      <c r="M45" s="41">
        <f>I45</f>
        <v>6000000</v>
      </c>
      <c r="N45" s="40">
        <f>F45*(1-N54-N51)</f>
        <v>0.72</v>
      </c>
      <c r="O45" s="303">
        <f>N45+N48</f>
        <v>0.96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87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85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0.24</v>
      </c>
      <c r="K48" s="7"/>
      <c r="L48" s="280"/>
      <c r="M48" s="68">
        <f>I48</f>
        <v>2000000</v>
      </c>
      <c r="N48" s="67">
        <f>F48*(1-N54-N51)</f>
        <v>0.24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90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111</v>
      </c>
      <c r="D51" s="50" t="s">
        <v>85</v>
      </c>
      <c r="E51" s="44"/>
      <c r="F51" s="45"/>
      <c r="G51" s="7"/>
      <c r="H51" s="424">
        <f>'SAFE SERIES ONE'!Q82*'SAFE SERIES ONE'!Q83</f>
        <v>400000</v>
      </c>
      <c r="I51" s="425">
        <f>H51</f>
        <v>400000</v>
      </c>
      <c r="J51" s="426">
        <f>'SAFE SERIES ONE'!S83</f>
        <v>0.04</v>
      </c>
      <c r="K51" s="7"/>
      <c r="L51" s="282"/>
      <c r="M51" s="51">
        <f>I51</f>
        <v>400000</v>
      </c>
      <c r="N51" s="52">
        <f>M51/M56</f>
        <v>0.04</v>
      </c>
      <c r="O51" s="303">
        <f>N51</f>
        <v>0.04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89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86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88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400000</v>
      </c>
      <c r="I56" s="225">
        <f>SUM(I45:I54)</f>
        <v>8400000</v>
      </c>
      <c r="J56" s="226">
        <f>SUM(J45:J52)</f>
        <v>1</v>
      </c>
      <c r="K56" s="7"/>
      <c r="L56" s="227">
        <f>L54</f>
        <v>0</v>
      </c>
      <c r="M56" s="228">
        <f>'SAFE SERIES ONE'!O78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8400000</v>
      </c>
      <c r="M57" s="274">
        <f>M54+M51+M48+M45</f>
        <v>8400000</v>
      </c>
      <c r="N57" s="111"/>
      <c r="O57" s="112"/>
      <c r="P57" s="7"/>
      <c r="Q57" s="7"/>
      <c r="R57" s="7"/>
    </row>
    <row r="59" spans="2:23">
      <c r="C59" s="442" t="s">
        <v>68</v>
      </c>
      <c r="D59" s="442"/>
      <c r="E59" s="442"/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2"/>
      <c r="Q59" s="442"/>
      <c r="R59" s="442"/>
    </row>
    <row r="60" spans="2:23">
      <c r="C60" s="442" t="s">
        <v>69</v>
      </c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2"/>
      <c r="Q60" s="442"/>
      <c r="R60" s="442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329</v>
      </c>
      <c r="G2" s="179"/>
      <c r="P2" s="24" t="s">
        <v>206</v>
      </c>
      <c r="Q2" s="180" t="s">
        <v>330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300</v>
      </c>
      <c r="K5" s="400">
        <v>100000000</v>
      </c>
      <c r="L5" s="374" t="s">
        <v>331</v>
      </c>
      <c r="M5" s="4"/>
      <c r="N5" s="4"/>
      <c r="O5" s="4"/>
      <c r="P5" s="4"/>
      <c r="Q5" s="375" t="s">
        <v>300</v>
      </c>
    </row>
    <row r="6" spans="2:17">
      <c r="B6" s="376"/>
      <c r="C6" s="22"/>
      <c r="D6" s="22"/>
      <c r="E6" s="22"/>
      <c r="F6" s="377" t="s">
        <v>175</v>
      </c>
      <c r="G6" s="377" t="b">
        <v>0</v>
      </c>
      <c r="H6" s="378" t="b">
        <v>0</v>
      </c>
      <c r="K6" s="376"/>
      <c r="L6" s="22"/>
      <c r="M6" s="22"/>
      <c r="N6" s="22"/>
      <c r="O6" s="377" t="s">
        <v>175</v>
      </c>
      <c r="P6" s="377" t="b">
        <v>0</v>
      </c>
      <c r="Q6" s="378" t="b">
        <v>0</v>
      </c>
    </row>
    <row r="7" spans="2:17">
      <c r="B7" s="256"/>
      <c r="C7" s="25"/>
      <c r="D7" s="137" t="s">
        <v>182</v>
      </c>
      <c r="E7" s="387" t="s">
        <v>174</v>
      </c>
      <c r="F7" s="380" t="s">
        <v>175</v>
      </c>
      <c r="G7" s="401" t="s">
        <v>176</v>
      </c>
      <c r="H7" s="402" t="s">
        <v>177</v>
      </c>
      <c r="K7" s="256"/>
      <c r="L7" s="25"/>
      <c r="M7" s="137" t="s">
        <v>182</v>
      </c>
      <c r="N7" s="401" t="s">
        <v>174</v>
      </c>
      <c r="O7" s="380" t="s">
        <v>175</v>
      </c>
      <c r="P7" s="401" t="s">
        <v>176</v>
      </c>
      <c r="Q7" s="402" t="s">
        <v>177</v>
      </c>
    </row>
    <row r="8" spans="2:17">
      <c r="B8" s="256"/>
      <c r="C8" s="136" t="s">
        <v>184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184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332</v>
      </c>
      <c r="D9" s="233"/>
      <c r="E9" s="391" t="s">
        <v>333</v>
      </c>
      <c r="F9" s="384" t="s">
        <v>334</v>
      </c>
      <c r="G9" s="391" t="s">
        <v>335</v>
      </c>
      <c r="H9" s="406" t="s">
        <v>333</v>
      </c>
      <c r="K9" s="256"/>
      <c r="L9" s="138" t="s">
        <v>332</v>
      </c>
      <c r="M9" s="233"/>
      <c r="N9" s="407" t="s">
        <v>333</v>
      </c>
      <c r="O9" s="384" t="s">
        <v>336</v>
      </c>
      <c r="P9" s="391" t="s">
        <v>335</v>
      </c>
      <c r="Q9" s="406" t="s">
        <v>333</v>
      </c>
    </row>
    <row r="10" spans="2:17">
      <c r="B10" s="256"/>
      <c r="C10" s="138"/>
      <c r="D10" s="258" t="s">
        <v>161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161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177</v>
      </c>
      <c r="K12" s="256"/>
      <c r="L12" s="138"/>
      <c r="M12" s="233"/>
      <c r="N12" s="414"/>
      <c r="O12" s="377" t="s">
        <v>175</v>
      </c>
      <c r="P12" s="377" t="b">
        <v>0</v>
      </c>
      <c r="Q12" s="378" t="b">
        <v>0</v>
      </c>
    </row>
    <row r="13" spans="2:17">
      <c r="B13" s="256"/>
      <c r="C13" s="138"/>
      <c r="D13" s="137" t="s">
        <v>182</v>
      </c>
      <c r="E13" s="387" t="s">
        <v>174</v>
      </c>
      <c r="F13" s="401" t="s">
        <v>175</v>
      </c>
      <c r="G13" s="401" t="s">
        <v>176</v>
      </c>
      <c r="H13" s="264" t="s">
        <v>177</v>
      </c>
      <c r="K13" s="256"/>
      <c r="L13" s="138"/>
      <c r="M13" s="137" t="s">
        <v>182</v>
      </c>
      <c r="N13" s="401" t="s">
        <v>174</v>
      </c>
      <c r="O13" s="387" t="s">
        <v>175</v>
      </c>
      <c r="P13" s="401" t="s">
        <v>176</v>
      </c>
      <c r="Q13" s="402" t="s">
        <v>177</v>
      </c>
    </row>
    <row r="14" spans="2:17">
      <c r="B14" s="256"/>
      <c r="C14" s="136" t="s">
        <v>183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183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332</v>
      </c>
      <c r="D15" s="7"/>
      <c r="E15" s="391" t="s">
        <v>333</v>
      </c>
      <c r="F15" s="416" t="s">
        <v>335</v>
      </c>
      <c r="G15" s="391" t="s">
        <v>335</v>
      </c>
      <c r="H15" s="261" t="s">
        <v>333</v>
      </c>
      <c r="K15" s="256"/>
      <c r="L15" s="138" t="s">
        <v>332</v>
      </c>
      <c r="M15" s="7"/>
      <c r="N15" s="407" t="s">
        <v>333</v>
      </c>
      <c r="O15" s="391" t="s">
        <v>337</v>
      </c>
      <c r="P15" s="391" t="s">
        <v>335</v>
      </c>
      <c r="Q15" s="406" t="s">
        <v>333</v>
      </c>
    </row>
    <row r="16" spans="2:17">
      <c r="B16" s="256"/>
      <c r="C16" s="7"/>
      <c r="D16" s="258" t="s">
        <v>161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161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300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300</v>
      </c>
    </row>
    <row r="21" spans="2:17">
      <c r="B21" s="376"/>
      <c r="C21" s="22"/>
      <c r="D21" s="22"/>
      <c r="E21" s="414"/>
      <c r="F21" s="377" t="s">
        <v>175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175</v>
      </c>
      <c r="P21" s="377" t="b">
        <v>0</v>
      </c>
      <c r="Q21" s="378" t="b">
        <v>0</v>
      </c>
    </row>
    <row r="22" spans="2:17">
      <c r="B22" s="256"/>
      <c r="C22" s="25"/>
      <c r="D22" s="137" t="s">
        <v>182</v>
      </c>
      <c r="E22" s="401" t="s">
        <v>174</v>
      </c>
      <c r="F22" s="380" t="s">
        <v>175</v>
      </c>
      <c r="G22" s="401" t="s">
        <v>176</v>
      </c>
      <c r="H22" s="402" t="s">
        <v>177</v>
      </c>
      <c r="K22" s="256"/>
      <c r="L22" s="25"/>
      <c r="M22" s="137" t="s">
        <v>182</v>
      </c>
      <c r="N22" s="401" t="s">
        <v>174</v>
      </c>
      <c r="O22" s="380" t="s">
        <v>175</v>
      </c>
      <c r="P22" s="401" t="s">
        <v>176</v>
      </c>
      <c r="Q22" s="402" t="s">
        <v>177</v>
      </c>
    </row>
    <row r="23" spans="2:17">
      <c r="B23" s="256"/>
      <c r="C23" s="136" t="s">
        <v>184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184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332</v>
      </c>
      <c r="D24" s="233"/>
      <c r="E24" s="407" t="s">
        <v>333</v>
      </c>
      <c r="F24" s="384" t="s">
        <v>338</v>
      </c>
      <c r="G24" s="391" t="s">
        <v>335</v>
      </c>
      <c r="H24" s="406" t="s">
        <v>333</v>
      </c>
      <c r="K24" s="256"/>
      <c r="L24" s="138" t="s">
        <v>332</v>
      </c>
      <c r="M24" s="233"/>
      <c r="N24" s="407" t="s">
        <v>333</v>
      </c>
      <c r="O24" s="384" t="s">
        <v>339</v>
      </c>
      <c r="P24" s="391" t="s">
        <v>335</v>
      </c>
      <c r="Q24" s="406" t="s">
        <v>333</v>
      </c>
    </row>
    <row r="25" spans="2:17">
      <c r="B25" s="256"/>
      <c r="C25" s="138"/>
      <c r="D25" s="258" t="s">
        <v>161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161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175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175</v>
      </c>
      <c r="P27" s="377" t="b">
        <v>0</v>
      </c>
      <c r="Q27" s="378" t="b">
        <v>0</v>
      </c>
    </row>
    <row r="28" spans="2:17">
      <c r="B28" s="256"/>
      <c r="C28" s="138"/>
      <c r="D28" s="137" t="s">
        <v>182</v>
      </c>
      <c r="E28" s="401" t="s">
        <v>174</v>
      </c>
      <c r="F28" s="387" t="s">
        <v>175</v>
      </c>
      <c r="G28" s="401" t="s">
        <v>176</v>
      </c>
      <c r="H28" s="402" t="s">
        <v>177</v>
      </c>
      <c r="K28" s="256"/>
      <c r="L28" s="138"/>
      <c r="M28" s="137" t="s">
        <v>182</v>
      </c>
      <c r="N28" s="401" t="s">
        <v>174</v>
      </c>
      <c r="O28" s="387" t="s">
        <v>175</v>
      </c>
      <c r="P28" s="401" t="s">
        <v>176</v>
      </c>
      <c r="Q28" s="402" t="s">
        <v>177</v>
      </c>
    </row>
    <row r="29" spans="2:17">
      <c r="B29" s="256"/>
      <c r="C29" s="136" t="s">
        <v>183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183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332</v>
      </c>
      <c r="D30" s="7"/>
      <c r="E30" s="407" t="s">
        <v>333</v>
      </c>
      <c r="F30" s="391" t="s">
        <v>340</v>
      </c>
      <c r="G30" s="391" t="s">
        <v>335</v>
      </c>
      <c r="H30" s="406" t="s">
        <v>333</v>
      </c>
      <c r="K30" s="256"/>
      <c r="L30" s="138" t="s">
        <v>332</v>
      </c>
      <c r="M30" s="7"/>
      <c r="N30" s="407" t="s">
        <v>333</v>
      </c>
      <c r="O30" s="391" t="s">
        <v>341</v>
      </c>
      <c r="P30" s="391" t="s">
        <v>335</v>
      </c>
      <c r="Q30" s="406" t="s">
        <v>333</v>
      </c>
    </row>
    <row r="31" spans="2:17">
      <c r="B31" s="256"/>
      <c r="C31" s="7"/>
      <c r="D31" s="258" t="s">
        <v>161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161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300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300</v>
      </c>
    </row>
    <row r="36" spans="2:17">
      <c r="B36" s="376"/>
      <c r="C36" s="22"/>
      <c r="D36" s="22"/>
      <c r="E36" s="414"/>
      <c r="F36" s="377" t="s">
        <v>175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175</v>
      </c>
      <c r="P36" s="377" t="b">
        <v>0</v>
      </c>
      <c r="Q36" s="378" t="b">
        <v>0</v>
      </c>
    </row>
    <row r="37" spans="2:17">
      <c r="B37" s="256"/>
      <c r="C37" s="25"/>
      <c r="D37" s="137" t="s">
        <v>182</v>
      </c>
      <c r="E37" s="401" t="s">
        <v>174</v>
      </c>
      <c r="F37" s="380" t="s">
        <v>175</v>
      </c>
      <c r="G37" s="401" t="s">
        <v>176</v>
      </c>
      <c r="H37" s="402" t="s">
        <v>177</v>
      </c>
      <c r="K37" s="256"/>
      <c r="L37" s="25"/>
      <c r="M37" s="137" t="s">
        <v>182</v>
      </c>
      <c r="N37" s="401" t="s">
        <v>174</v>
      </c>
      <c r="O37" s="380" t="s">
        <v>175</v>
      </c>
      <c r="P37" s="401" t="s">
        <v>176</v>
      </c>
      <c r="Q37" s="402" t="s">
        <v>177</v>
      </c>
    </row>
    <row r="38" spans="2:17">
      <c r="B38" s="256"/>
      <c r="C38" s="136" t="s">
        <v>184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184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332</v>
      </c>
      <c r="D39" s="233"/>
      <c r="E39" s="407" t="s">
        <v>333</v>
      </c>
      <c r="F39" s="384" t="s">
        <v>342</v>
      </c>
      <c r="G39" s="391" t="s">
        <v>335</v>
      </c>
      <c r="H39" s="406" t="s">
        <v>333</v>
      </c>
      <c r="K39" s="256"/>
      <c r="L39" s="138" t="s">
        <v>332</v>
      </c>
      <c r="M39" s="233"/>
      <c r="N39" s="407" t="s">
        <v>333</v>
      </c>
      <c r="O39" s="384" t="s">
        <v>343</v>
      </c>
      <c r="P39" s="391" t="s">
        <v>335</v>
      </c>
      <c r="Q39" s="406" t="s">
        <v>333</v>
      </c>
    </row>
    <row r="40" spans="2:17">
      <c r="B40" s="256"/>
      <c r="C40" s="138"/>
      <c r="D40" s="258" t="s">
        <v>161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161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175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175</v>
      </c>
      <c r="P42" s="377" t="b">
        <v>0</v>
      </c>
      <c r="Q42" s="378" t="b">
        <v>0</v>
      </c>
    </row>
    <row r="43" spans="2:17">
      <c r="B43" s="256"/>
      <c r="C43" s="138"/>
      <c r="D43" s="137" t="s">
        <v>182</v>
      </c>
      <c r="E43" s="401" t="s">
        <v>174</v>
      </c>
      <c r="F43" s="387" t="s">
        <v>175</v>
      </c>
      <c r="G43" s="401" t="s">
        <v>176</v>
      </c>
      <c r="H43" s="402" t="s">
        <v>177</v>
      </c>
      <c r="K43" s="256"/>
      <c r="L43" s="138"/>
      <c r="M43" s="137" t="s">
        <v>182</v>
      </c>
      <c r="N43" s="401" t="s">
        <v>174</v>
      </c>
      <c r="O43" s="387" t="s">
        <v>175</v>
      </c>
      <c r="P43" s="401" t="s">
        <v>176</v>
      </c>
      <c r="Q43" s="402" t="s">
        <v>177</v>
      </c>
    </row>
    <row r="44" spans="2:17">
      <c r="B44" s="256"/>
      <c r="C44" s="136" t="s">
        <v>183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183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332</v>
      </c>
      <c r="D45" s="7"/>
      <c r="E45" s="407" t="s">
        <v>333</v>
      </c>
      <c r="F45" s="391" t="s">
        <v>344</v>
      </c>
      <c r="G45" s="391" t="s">
        <v>335</v>
      </c>
      <c r="H45" s="406" t="s">
        <v>333</v>
      </c>
      <c r="K45" s="256"/>
      <c r="L45" s="138" t="s">
        <v>332</v>
      </c>
      <c r="M45" s="7"/>
      <c r="N45" s="407" t="s">
        <v>333</v>
      </c>
      <c r="O45" s="391" t="s">
        <v>345</v>
      </c>
      <c r="P45" s="391" t="s">
        <v>335</v>
      </c>
      <c r="Q45" s="406" t="s">
        <v>333</v>
      </c>
    </row>
    <row r="46" spans="2:17">
      <c r="B46" s="256"/>
      <c r="C46" s="7"/>
      <c r="D46" s="258" t="s">
        <v>161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161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178</v>
      </c>
      <c r="B50" s="178" t="s">
        <v>346</v>
      </c>
      <c r="C50" s="178"/>
      <c r="K50" s="178" t="s">
        <v>347</v>
      </c>
    </row>
    <row r="51" spans="1:11" ht="20">
      <c r="A51" s="178"/>
      <c r="B51" s="178" t="s">
        <v>348</v>
      </c>
      <c r="C51" s="178"/>
      <c r="K51" s="178" t="s">
        <v>349</v>
      </c>
    </row>
    <row r="52" spans="1:11" ht="20">
      <c r="A52" s="178"/>
      <c r="B52" s="178"/>
      <c r="C52" s="178"/>
    </row>
    <row r="53" spans="1:11" ht="20">
      <c r="A53" s="417" t="s">
        <v>179</v>
      </c>
      <c r="B53" s="418" t="s">
        <v>291</v>
      </c>
      <c r="C53" s="418"/>
      <c r="K53" s="178" t="s">
        <v>350</v>
      </c>
    </row>
    <row r="54" spans="1:11" ht="20">
      <c r="A54" s="178"/>
      <c r="B54" s="178"/>
      <c r="C54" s="178"/>
    </row>
    <row r="55" spans="1:11" ht="20">
      <c r="A55" s="13" t="s">
        <v>180</v>
      </c>
      <c r="B55" s="178" t="s">
        <v>351</v>
      </c>
      <c r="C55" s="178"/>
      <c r="K55" s="419" t="s">
        <v>352</v>
      </c>
    </row>
    <row r="56" spans="1:11" ht="20">
      <c r="A56" s="13"/>
      <c r="B56" s="178" t="s">
        <v>353</v>
      </c>
      <c r="C56" s="178"/>
    </row>
    <row r="57" spans="1:11" ht="20">
      <c r="A57" s="420"/>
      <c r="B57" s="421"/>
      <c r="C57" s="421"/>
      <c r="K57" s="419" t="s">
        <v>354</v>
      </c>
    </row>
    <row r="58" spans="1:11" ht="20">
      <c r="A58" s="13" t="s">
        <v>181</v>
      </c>
      <c r="B58" s="178" t="s">
        <v>355</v>
      </c>
      <c r="C58" s="178"/>
    </row>
    <row r="59" spans="1:11" ht="20">
      <c r="B59" s="178" t="s">
        <v>356</v>
      </c>
      <c r="K59" s="419" t="s">
        <v>357</v>
      </c>
    </row>
    <row r="61" spans="1:11" ht="20">
      <c r="K61" s="419" t="s">
        <v>358</v>
      </c>
    </row>
    <row r="63" spans="1:11" ht="20">
      <c r="K63" s="419" t="s">
        <v>359</v>
      </c>
    </row>
    <row r="64" spans="1:11" ht="20">
      <c r="K64" s="419" t="s">
        <v>360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2018-10-18T23:04:44Z</cp:lastPrinted>
  <dcterms:created xsi:type="dcterms:W3CDTF">2014-08-06T19:05:41Z</dcterms:created>
  <dcterms:modified xsi:type="dcterms:W3CDTF">2018-10-18T23:05:39Z</dcterms:modified>
</cp:coreProperties>
</file>