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400" yWindow="1820" windowWidth="336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35" l="1"/>
  <c r="I16" i="35"/>
  <c r="I15" i="35"/>
  <c r="D22" i="35"/>
  <c r="I22" i="35"/>
  <c r="K22" i="35"/>
  <c r="M25" i="35"/>
  <c r="I31" i="35"/>
  <c r="G31" i="35"/>
  <c r="K31" i="35"/>
  <c r="M31" i="35"/>
  <c r="O50" i="35"/>
  <c r="O53" i="35"/>
  <c r="D22" i="36"/>
  <c r="F22" i="36"/>
  <c r="Q83" i="35"/>
  <c r="J75" i="35"/>
  <c r="K75" i="35"/>
  <c r="C92" i="35"/>
  <c r="F92" i="35"/>
  <c r="I92" i="35"/>
  <c r="K92" i="35"/>
  <c r="M96" i="35"/>
  <c r="J73" i="35"/>
  <c r="K73" i="35"/>
  <c r="K96" i="35"/>
  <c r="P96" i="35"/>
  <c r="M61" i="35"/>
  <c r="O99" i="35"/>
  <c r="K76" i="35"/>
  <c r="I73" i="35"/>
  <c r="B92" i="35"/>
  <c r="O73" i="35"/>
  <c r="I77" i="35"/>
  <c r="O75" i="35"/>
  <c r="O76" i="35"/>
  <c r="O74" i="35"/>
  <c r="O78" i="35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M59" i="35"/>
  <c r="M60" i="35"/>
  <c r="M21" i="35"/>
  <c r="H7" i="35"/>
  <c r="M6" i="36"/>
  <c r="O54" i="36"/>
  <c r="J38" i="36"/>
  <c r="C61" i="35"/>
  <c r="B22" i="36"/>
  <c r="N32" i="36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<sst xmlns="http://schemas.openxmlformats.org/spreadsheetml/2006/main" count="739" uniqueCount="377">
  <si>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</si>
  <si>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</si>
  <si>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</si>
  <si>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</si>
  <si>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</si>
  <si>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</si>
  <si>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</si>
  <si>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</si>
  <si>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</si>
  <si>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</si>
  <si>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</si>
  <si>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</si>
  <si>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</si>
  <si>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</si>
  <si>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</si>
  <si>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</si>
  <si>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</si>
  <si>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</si>
  <si>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</si>
  <si>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</si>
  <si>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</si>
  <si>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</si>
  <si>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</si>
  <si>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</si>
  <si>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</si>
  <si>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</si>
  <si>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</si>
  <si>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</si>
  <si>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</si>
  <si>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</si>
  <si>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</si>
  <si>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</si>
  <si>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</si>
  <si>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</si>
  <si>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</si>
  <si>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</si>
  <si>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</si>
  <si>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</si>
  <si>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</si>
  <si>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</si>
  <si>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</si>
  <si>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</si>
  <si>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</si>
  <si>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</si>
  <si>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</si>
  <si>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</si>
  <si>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</si>
  <si>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</si>
  <si>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</si>
  <si>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</si>
  <si>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</si>
  <si>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</si>
  <si>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</si>
  <si>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</si>
  <si>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</si>
  <si>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</si>
  <si>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</si>
  <si>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</si>
  <si>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</si>
  <si>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</si>
  <si>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</si>
  <si>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</si>
  <si>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</si>
  <si>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</si>
  <si>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</si>
  <si>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</si>
  <si>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</si>
  <si>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</si>
  <si>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</si>
  <si>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</si>
  <si>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</si>
  <si>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</si>
  <si>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</si>
  <si>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</si>
  <si>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</si>
  <si>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</si>
  <si>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</si>
  <si>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</si>
  <si>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</si>
  <si>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</si>
  <si>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</si>
  <si>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</si>
  <si>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</si>
  <si>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</si>
  <si>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</si>
  <si>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</si>
  <si>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</si>
  <si>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</si>
  <si>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</si>
  <si>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</si>
  <si>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</si>
  <si>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</si>
  <si>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</si>
  <si>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</si>
  <si>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</si>
  <si>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</si>
  <si>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</si>
  <si>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</si>
  <si>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</si>
  <si>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</si>
  <si>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</si>
  <si>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</si>
  <si>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</si>
  <si>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</si>
  <si>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</si>
  <si>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</si>
  <si>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</si>
  <si>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</si>
  <si>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</si>
  <si>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</si>
  <si>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</si>
  <si>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</si>
  <si>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</si>
  <si>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</si>
  <si>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</si>
  <si>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</si>
  <si>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</si>
  <si>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</si>
  <si>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</si>
  <si>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</si>
  <si>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</si>
  <si>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</si>
  <si>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</si>
  <si>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</si>
  <si>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</si>
  <si>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</si>
  <si>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</si>
  <si>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</si>
  <si>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</si>
  <si>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</si>
  <si>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</si>
  <si>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</si>
  <si>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</si>
  <si>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</si>
  <si>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</si>
  <si>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</si>
  <si>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</si>
  <si>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</si>
  <si>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</si>
  <si>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</si>
  <si>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</si>
  <si>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</si>
  <si>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</si>
  <si>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</si>
  <si>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</si>
  <si>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</si>
  <si>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</si>
  <si>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</si>
  <si>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</si>
  <si>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</si>
  <si>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</si>
  <si>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</si>
  <si>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</si>
  <si>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</si>
  <si>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</si>
  <si>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</si>
  <si>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</si>
  <si>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</si>
  <si>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</si>
  <si>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</si>
  <si>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</si>
  <si>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</si>
  <si>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</si>
  <si>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</si>
  <si>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</si>
  <si>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</si>
  <si>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</si>
  <si>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</si>
  <si>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</si>
  <si>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</si>
  <si>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</si>
  <si>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</si>
  <si>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</si>
  <si>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</si>
  <si>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</si>
  <si>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</si>
  <si>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</si>
  <si>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</si>
  <si>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</si>
  <si>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</si>
  <si>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</si>
  <si>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</si>
  <si>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</si>
  <si>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</si>
  <si>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</si>
  <si>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</si>
  <si>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</si>
  <si>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</si>
  <si>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</si>
  <si>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</si>
  <si>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</si>
  <si>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</si>
  <si>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</si>
  <si>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</si>
  <si>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</si>
  <si>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</si>
  <si>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</si>
  <si>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</si>
  <si>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</si>
  <si>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</si>
  <si>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</si>
  <si>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</si>
  <si>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</si>
  <si>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</si>
  <si>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</si>
  <si>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</si>
  <si>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</si>
  <si>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</si>
  <si>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</si>
  <si>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</si>
  <si>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</si>
  <si>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</si>
  <si>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</si>
  <si>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</si>
  <si>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</si>
  <si>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</si>
  <si>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</si>
  <si>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</si>
  <si>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</si>
  <si>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</si>
  <si>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</si>
  <si>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</si>
  <si>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</si>
  <si>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</si>
  <si>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</si>
  <si>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</si>
  <si>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</si>
  <si>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</si>
  <si>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</si>
  <si>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</si>
  <si>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</si>
  <si>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</si>
  <si>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</si>
  <si>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</si>
  <si>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</si>
  <si>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</si>
  <si>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</si>
  <si>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</si>
  <si>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</si>
  <si>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</si>
  <si>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</si>
  <si>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</si>
  <si>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</si>
  <si>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</si>
  <si>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</si>
  <si>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</si>
  <si>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</si>
  <si>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</si>
  <si>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</si>
  <si>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</si>
  <si>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</si>
  <si>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</si>
  <si>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</si>
  <si>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</si>
  <si>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</si>
  <si>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</si>
  <si>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</si>
  <si>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</si>
  <si>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</si>
  <si>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</si>
  <si>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</si>
  <si>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</si>
  <si>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</si>
  <si>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</si>
  <si>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</si>
  <si>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</si>
  <si>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</si>
  <si>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</si>
  <si>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</si>
  <si>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</si>
  <si>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</si>
  <si>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</si>
  <si>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</si>
  <si>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</si>
  <si>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</si>
  <si>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</si>
  <si>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</si>
  <si>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</si>
  <si>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</si>
  <si>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</si>
  <si>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</si>
  <si>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</si>
  <si>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</si>
  <si>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</si>
  <si>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</si>
  <si>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</si>
  <si>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</si>
  <si>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</si>
  <si>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</si>
  <si>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</si>
  <si>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</si>
  <si>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</si>
  <si>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</si>
  <si>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</si>
  <si>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</si>
  <si>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</si>
  <si>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</si>
  <si>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</si>
  <si>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</si>
  <si>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</si>
  <si>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</si>
  <si>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</si>
  <si>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</si>
  <si>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</si>
  <si>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</si>
  <si>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</si>
  <si>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</si>
  <si>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</si>
  <si>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</si>
  <si>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</si>
  <si>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</si>
  <si>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</si>
  <si>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</si>
  <si>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</si>
  <si>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</si>
  <si>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</si>
  <si>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</si>
  <si>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</si>
  <si>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</si>
  <si>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</si>
  <si>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</si>
  <si>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</si>
  <si>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</si>
  <si>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</si>
  <si>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</si>
  <si>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</si>
  <si>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</si>
  <si>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</si>
  <si>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</si>
  <si>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</si>
  <si>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</si>
  <si>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</si>
  <si>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</si>
  <si>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</si>
  <si>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</si>
  <si>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</si>
  <si>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</si>
  <si>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</si>
  <si>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</si>
  <si>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</si>
  <si>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</si>
  <si>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</si>
  <si>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</si>
  <si>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</si>
  <si>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</si>
  <si>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</si>
  <si>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</si>
  <si>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</si>
  <si>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</si>
  <si>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</si>
  <si>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</si>
  <si>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</si>
  <si>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</si>
  <si>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</si>
  <si>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</si>
  <si>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</si>
  <si>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</si>
  <si>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</si>
  <si>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</si>
  <si>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</si>
  <si>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</si>
  <si>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</si>
  <si>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</si>
  <si>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</si>
  <si>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</si>
  <si>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</si>
  <si>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</si>
  <si>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</si>
  <si>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</si>
  <si>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</si>
  <si>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</si>
  <si>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</si>
  <si>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</si>
  <si>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</si>
  <si>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</si>
  <si>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CKA CO-FOUNDER ALLOCATIONS</t>
  </si>
  <si>
    <t>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</si>
</sst>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0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10" fontId="77" fillId="0" borderId="34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  <xf numFmtId="0" fontId="67" fillId="0" borderId="39" xfId="0" applyFont="1" applyBorder="1"/>
    <xf numFmtId="0" fontId="44" fillId="0" borderId="0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67" fillId="0" borderId="0" xfId="0" applyFont="1" applyAlignment="1">
      <alignment horizontal="right"/>
    </xf>
    <xf numFmtId="0" fontId="44" fillId="0" borderId="0" xfId="0" applyFont="1"/>
    <xf numFmtId="3" fontId="67" fillId="0" borderId="39" xfId="0" applyNumberFormat="1" applyFont="1" applyBorder="1" applyAlignment="1">
      <alignment horizontal="center"/>
    </xf>
    <xf numFmtId="164" fontId="44" fillId="0" borderId="3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204</v>
      </c>
      <c r="J2" s="24" t="s">
        <v>205</v>
      </c>
      <c r="K2" s="180" t="s">
        <v>206</v>
      </c>
    </row>
    <row r="5" spans="3:25" ht="23">
      <c r="C5" s="116" t="s">
        <v>207</v>
      </c>
      <c r="H5" s="306"/>
    </row>
    <row r="6" spans="3:25">
      <c r="T6"/>
      <c r="U6" s="6"/>
      <c r="Y6" s="6"/>
    </row>
    <row r="7" spans="3:25">
      <c r="D7" s="307" t="s">
        <v>208</v>
      </c>
      <c r="E7" s="308" t="s">
        <v>209</v>
      </c>
      <c r="F7" s="309" t="s">
        <v>210</v>
      </c>
      <c r="G7" s="310" t="s">
        <v>211</v>
      </c>
      <c r="H7" s="311" t="s">
        <v>212</v>
      </c>
      <c r="N7" s="5" t="s">
        <v>213</v>
      </c>
      <c r="O7" s="5" t="s">
        <v>213</v>
      </c>
      <c r="P7" s="135" t="s">
        <v>213</v>
      </c>
      <c r="T7"/>
      <c r="U7"/>
      <c r="V7" s="24" t="s">
        <v>214</v>
      </c>
      <c r="Y7" s="312"/>
    </row>
    <row r="8" spans="3:25">
      <c r="D8" s="313" t="s">
        <v>215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216</v>
      </c>
      <c r="O8" s="135" t="s">
        <v>217</v>
      </c>
      <c r="P8" s="5" t="s">
        <v>218</v>
      </c>
      <c r="Q8" s="5"/>
      <c r="R8" t="s">
        <v>219</v>
      </c>
      <c r="T8"/>
      <c r="U8"/>
      <c r="V8" s="24" t="s">
        <v>220</v>
      </c>
      <c r="W8" s="317" t="s">
        <v>221</v>
      </c>
    </row>
    <row r="9" spans="3:25">
      <c r="D9" s="318" t="s">
        <v>222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223</v>
      </c>
      <c r="U9" s="312" t="s">
        <v>224</v>
      </c>
      <c r="V9" s="323">
        <f>P9*R9</f>
        <v>6600000</v>
      </c>
      <c r="W9" s="317"/>
    </row>
    <row r="10" spans="3:25">
      <c r="D10" s="324" t="s">
        <v>225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221</v>
      </c>
    </row>
    <row r="11" spans="3:25">
      <c r="D11" s="313" t="s">
        <v>226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227</v>
      </c>
      <c r="U11" t="s">
        <v>228</v>
      </c>
      <c r="V11" s="323">
        <f>P11*R11</f>
        <v>7000000.0000000009</v>
      </c>
      <c r="W11" s="317"/>
    </row>
    <row r="12" spans="3:25">
      <c r="D12" s="328" t="s">
        <v>229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221</v>
      </c>
    </row>
    <row r="13" spans="3:25">
      <c r="D13" s="332" t="s">
        <v>230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231</v>
      </c>
      <c r="U13" t="s">
        <v>232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221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231</v>
      </c>
      <c r="U15" t="s">
        <v>232</v>
      </c>
      <c r="V15" s="323">
        <f>R15*P15</f>
        <v>19500000</v>
      </c>
      <c r="W15" s="317"/>
    </row>
    <row r="16" spans="3:25" ht="23">
      <c r="C16" s="116" t="s">
        <v>233</v>
      </c>
      <c r="G16" s="6" t="s">
        <v>234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221</v>
      </c>
    </row>
    <row r="17" spans="2:26" ht="23">
      <c r="C17" s="116"/>
      <c r="G17" s="6" t="s">
        <v>235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231</v>
      </c>
      <c r="U17" t="s">
        <v>232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236</v>
      </c>
      <c r="G19" s="5" t="s">
        <v>237</v>
      </c>
      <c r="I19" s="5" t="s">
        <v>238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231</v>
      </c>
      <c r="U19" t="s">
        <v>232</v>
      </c>
      <c r="V19" s="323">
        <f>R19*P19</f>
        <v>32500000</v>
      </c>
      <c r="W19" s="317" t="s">
        <v>221</v>
      </c>
    </row>
    <row r="20" spans="2:26">
      <c r="D20" s="2" t="s">
        <v>239</v>
      </c>
      <c r="E20" s="6"/>
      <c r="F20" s="6" t="s">
        <v>240</v>
      </c>
      <c r="G20" s="5" t="s">
        <v>240</v>
      </c>
      <c r="H20" s="5" t="s">
        <v>241</v>
      </c>
      <c r="I20" s="5" t="s">
        <v>242</v>
      </c>
      <c r="J20" s="5" t="s">
        <v>243</v>
      </c>
      <c r="K20" s="5" t="s">
        <v>244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245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231</v>
      </c>
      <c r="U21" t="s">
        <v>232</v>
      </c>
      <c r="V21" s="323">
        <f>R21*P21</f>
        <v>45500000</v>
      </c>
      <c r="W21" s="317" t="s">
        <v>221</v>
      </c>
      <c r="Y21" s="317"/>
      <c r="Z21" s="10"/>
    </row>
    <row r="22" spans="2:26">
      <c r="B22" s="24"/>
      <c r="C22" s="24"/>
      <c r="D22" s="135"/>
      <c r="E22" t="s">
        <v>246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247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248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249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250</v>
      </c>
      <c r="P26" s="317"/>
      <c r="S26" t="s">
        <v>219</v>
      </c>
      <c r="T26"/>
      <c r="U26" s="135"/>
      <c r="V26" s="10"/>
    </row>
    <row r="27" spans="2:26">
      <c r="D27" s="2" t="s">
        <v>251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252</v>
      </c>
      <c r="Q27" s="344"/>
      <c r="R27" s="344"/>
      <c r="S27" s="345">
        <v>0.42</v>
      </c>
      <c r="T27" s="143" t="s">
        <v>253</v>
      </c>
      <c r="U27" s="143" t="s">
        <v>254</v>
      </c>
      <c r="V27" s="10"/>
    </row>
    <row r="28" spans="2:26">
      <c r="N28" s="348" t="s">
        <v>255</v>
      </c>
      <c r="O28" s="346"/>
      <c r="P28" s="344" t="s">
        <v>256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257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258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259</v>
      </c>
      <c r="T31" s="352" t="s">
        <v>260</v>
      </c>
      <c r="U31" s="338" t="s">
        <v>261</v>
      </c>
      <c r="V31" s="10"/>
    </row>
    <row r="32" spans="2:26" ht="20">
      <c r="C32" s="143" t="s">
        <v>262</v>
      </c>
      <c r="D32" s="143"/>
      <c r="E32" s="434" t="s">
        <v>263</v>
      </c>
      <c r="F32" s="435"/>
      <c r="G32" s="352" t="s">
        <v>264</v>
      </c>
      <c r="H32" s="353" t="s">
        <v>26</v>
      </c>
      <c r="I32" s="5" t="s">
        <v>265</v>
      </c>
      <c r="J32" s="5" t="s">
        <v>265</v>
      </c>
      <c r="K32" s="354" t="s">
        <v>266</v>
      </c>
      <c r="N32" s="317"/>
      <c r="O32" s="5"/>
      <c r="P32" s="349"/>
      <c r="Q32" s="355" t="s">
        <v>267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268</v>
      </c>
      <c r="D33" s="344"/>
      <c r="E33" s="436" t="s">
        <v>240</v>
      </c>
      <c r="F33" s="437"/>
      <c r="G33" s="352" t="s">
        <v>144</v>
      </c>
      <c r="H33" s="353" t="s">
        <v>27</v>
      </c>
      <c r="I33" s="5" t="s">
        <v>243</v>
      </c>
      <c r="J33" s="5" t="s">
        <v>244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269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270</v>
      </c>
      <c r="G36" s="135" t="s">
        <v>26</v>
      </c>
      <c r="H36" s="135" t="s">
        <v>270</v>
      </c>
      <c r="T36"/>
      <c r="U36" s="6"/>
      <c r="V36" s="10"/>
    </row>
    <row r="37" spans="3:22">
      <c r="E37" s="5" t="s">
        <v>271</v>
      </c>
      <c r="G37" s="5" t="s">
        <v>272</v>
      </c>
      <c r="H37" s="5" t="s">
        <v>273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274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275</v>
      </c>
      <c r="P46" s="361"/>
      <c r="U46" s="10" t="s">
        <v>276</v>
      </c>
    </row>
    <row r="47" spans="3:22">
      <c r="U47" s="10" t="s">
        <v>277</v>
      </c>
    </row>
    <row r="48" spans="3:22" ht="23">
      <c r="E48" s="10">
        <f>G48/E52</f>
        <v>0.02</v>
      </c>
      <c r="G48" s="362">
        <v>0.2</v>
      </c>
      <c r="P48" s="361" t="s">
        <v>278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279</v>
      </c>
      <c r="H49" s="364" t="s">
        <v>280</v>
      </c>
      <c r="I49" s="364" t="s">
        <v>280</v>
      </c>
    </row>
    <row r="50" spans="4:23">
      <c r="H50" s="364" t="s">
        <v>170</v>
      </c>
      <c r="I50" s="364" t="s">
        <v>164</v>
      </c>
      <c r="J50" s="2" t="s">
        <v>177</v>
      </c>
      <c r="K50" t="s">
        <v>281</v>
      </c>
    </row>
    <row r="51" spans="4:23">
      <c r="E51" s="135" t="s">
        <v>161</v>
      </c>
      <c r="F51" s="135" t="s">
        <v>162</v>
      </c>
      <c r="G51" s="135" t="s">
        <v>163</v>
      </c>
      <c r="H51" s="364" t="s">
        <v>282</v>
      </c>
      <c r="I51" s="364" t="s">
        <v>283</v>
      </c>
      <c r="J51" s="6"/>
      <c r="L51" t="s">
        <v>168</v>
      </c>
      <c r="M51" s="135" t="str">
        <f>"Discount Rate (" &amp; O52/F52 &amp; "X)"</f>
        <v>Discount Rate (1.2X)</v>
      </c>
      <c r="N51" t="s">
        <v>167</v>
      </c>
      <c r="O51" t="s">
        <v>171</v>
      </c>
      <c r="P51" t="s">
        <v>165</v>
      </c>
      <c r="Q51" t="s">
        <v>284</v>
      </c>
      <c r="R51" s="1" t="s">
        <v>285</v>
      </c>
      <c r="S51" t="s">
        <v>286</v>
      </c>
      <c r="T51" s="6" t="s">
        <v>287</v>
      </c>
      <c r="U51" s="6"/>
      <c r="V51" s="10" t="s">
        <v>288</v>
      </c>
    </row>
    <row r="52" spans="4:23" ht="20">
      <c r="D52" s="12" t="s">
        <v>289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178</v>
      </c>
      <c r="K54" s="369" t="s">
        <v>290</v>
      </c>
      <c r="U54" s="6"/>
      <c r="V54" s="10"/>
    </row>
    <row r="55" spans="4:23">
      <c r="E55" s="1"/>
      <c r="G55" s="1"/>
      <c r="J55" s="6"/>
      <c r="L55" s="135" t="s">
        <v>155</v>
      </c>
      <c r="M55" s="135" t="s">
        <v>166</v>
      </c>
      <c r="N55" t="s">
        <v>169</v>
      </c>
      <c r="O55" t="s">
        <v>171</v>
      </c>
      <c r="P55" t="s">
        <v>165</v>
      </c>
      <c r="Q55" t="s">
        <v>284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179</v>
      </c>
      <c r="K58" t="s">
        <v>291</v>
      </c>
      <c r="V58" s="5"/>
    </row>
    <row r="59" spans="4:23">
      <c r="J59" s="6"/>
      <c r="L59" s="135" t="s">
        <v>155</v>
      </c>
      <c r="M59" s="135" t="s">
        <v>166</v>
      </c>
      <c r="N59" t="s">
        <v>169</v>
      </c>
      <c r="O59" t="s">
        <v>171</v>
      </c>
      <c r="P59" t="s">
        <v>165</v>
      </c>
      <c r="Q59" t="s">
        <v>284</v>
      </c>
      <c r="T59" s="6" t="s">
        <v>292</v>
      </c>
      <c r="U59" s="10" t="s">
        <v>293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180</v>
      </c>
      <c r="K62" t="s">
        <v>294</v>
      </c>
      <c r="U62" s="6"/>
      <c r="V62" s="10"/>
      <c r="W62" s="5"/>
    </row>
    <row r="63" spans="4:23">
      <c r="J63" s="6"/>
      <c r="L63" s="135" t="s">
        <v>155</v>
      </c>
      <c r="M63" s="135" t="str">
        <f>"Discount Rate (" &amp; O64/F52 &amp; "X)"</f>
        <v>Discount Rate (1.2X)</v>
      </c>
      <c r="N63" t="s">
        <v>167</v>
      </c>
      <c r="O63" t="s">
        <v>171</v>
      </c>
      <c r="P63" t="s">
        <v>165</v>
      </c>
      <c r="Q63" t="s">
        <v>284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295</v>
      </c>
    </row>
    <row r="71" spans="3:23">
      <c r="G71" s="135" t="s">
        <v>279</v>
      </c>
      <c r="H71" s="364" t="s">
        <v>280</v>
      </c>
      <c r="I71" s="364" t="s">
        <v>280</v>
      </c>
      <c r="J71" s="6"/>
    </row>
    <row r="72" spans="3:23">
      <c r="H72" s="364" t="s">
        <v>170</v>
      </c>
      <c r="I72" s="364" t="s">
        <v>164</v>
      </c>
      <c r="J72" s="2" t="s">
        <v>177</v>
      </c>
      <c r="K72" t="s">
        <v>281</v>
      </c>
    </row>
    <row r="73" spans="3:23">
      <c r="E73" s="135" t="s">
        <v>161</v>
      </c>
      <c r="F73" s="135" t="s">
        <v>162</v>
      </c>
      <c r="G73" s="135" t="s">
        <v>163</v>
      </c>
      <c r="H73" s="364" t="s">
        <v>282</v>
      </c>
      <c r="I73" s="364" t="s">
        <v>283</v>
      </c>
      <c r="J73" s="6"/>
      <c r="L73" t="s">
        <v>168</v>
      </c>
      <c r="M73" s="135" t="str">
        <f>"Discount Rate (" &amp; O74/F74 &amp; "X)"</f>
        <v>Discount Rate (1.2X)</v>
      </c>
      <c r="N73" t="s">
        <v>167</v>
      </c>
      <c r="O73" t="s">
        <v>171</v>
      </c>
      <c r="P73" t="s">
        <v>165</v>
      </c>
      <c r="Q73" t="s">
        <v>284</v>
      </c>
      <c r="R73" s="1" t="s">
        <v>285</v>
      </c>
      <c r="S73" t="s">
        <v>286</v>
      </c>
      <c r="T73" s="6" t="s">
        <v>287</v>
      </c>
      <c r="U73" s="6"/>
      <c r="V73" s="10" t="s">
        <v>288</v>
      </c>
    </row>
    <row r="74" spans="3:23" ht="20">
      <c r="D74" s="12" t="s">
        <v>296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178</v>
      </c>
      <c r="K76" s="369" t="s">
        <v>290</v>
      </c>
      <c r="U76" s="6"/>
      <c r="V76" s="10"/>
    </row>
    <row r="77" spans="3:23">
      <c r="J77" s="6"/>
      <c r="L77" s="135" t="s">
        <v>155</v>
      </c>
      <c r="M77" s="135" t="s">
        <v>166</v>
      </c>
      <c r="N77" t="s">
        <v>169</v>
      </c>
      <c r="O77" t="s">
        <v>171</v>
      </c>
      <c r="P77" t="s">
        <v>165</v>
      </c>
      <c r="Q77" t="s">
        <v>284</v>
      </c>
      <c r="U77" s="6"/>
      <c r="V77" s="10" t="s">
        <v>288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179</v>
      </c>
      <c r="K80" t="s">
        <v>291</v>
      </c>
      <c r="U80" s="6"/>
      <c r="V80" s="10"/>
      <c r="W80" s="5"/>
    </row>
    <row r="81" spans="2:23">
      <c r="J81" s="6"/>
      <c r="L81" s="135" t="s">
        <v>155</v>
      </c>
      <c r="M81" s="135" t="s">
        <v>166</v>
      </c>
      <c r="N81" t="s">
        <v>169</v>
      </c>
      <c r="O81" t="s">
        <v>171</v>
      </c>
      <c r="P81" t="s">
        <v>165</v>
      </c>
      <c r="Q81" t="s">
        <v>284</v>
      </c>
      <c r="U81" s="10" t="s">
        <v>293</v>
      </c>
      <c r="V81" s="10" t="s">
        <v>288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180</v>
      </c>
      <c r="K84" t="s">
        <v>294</v>
      </c>
      <c r="U84" s="6"/>
      <c r="V84" s="10"/>
      <c r="W84" s="5"/>
    </row>
    <row r="85" spans="2:23">
      <c r="L85" s="135" t="s">
        <v>155</v>
      </c>
      <c r="M85" s="135" t="str">
        <f>"Discount Rate (" &amp; O86/F74 &amp; "X)"</f>
        <v>Discount Rate (1.2X)</v>
      </c>
      <c r="N85" t="s">
        <v>167</v>
      </c>
      <c r="O85" t="s">
        <v>171</v>
      </c>
      <c r="P85" t="s">
        <v>165</v>
      </c>
      <c r="Q85" t="s">
        <v>284</v>
      </c>
      <c r="U85" s="6"/>
      <c r="V85" s="10" t="s">
        <v>288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297</v>
      </c>
      <c r="G91" s="317"/>
      <c r="H91" s="317"/>
      <c r="I91" s="317"/>
      <c r="J91"/>
      <c r="K91" s="373">
        <f>T48</f>
        <v>25000000</v>
      </c>
      <c r="L91" s="374" t="s">
        <v>298</v>
      </c>
      <c r="M91" s="4"/>
      <c r="N91" s="4"/>
      <c r="O91" s="4"/>
      <c r="P91" s="4"/>
      <c r="Q91" s="375" t="s">
        <v>299</v>
      </c>
      <c r="R91"/>
      <c r="S91"/>
      <c r="T91" s="6"/>
      <c r="V91"/>
      <c r="W91"/>
    </row>
    <row r="92" spans="2:23" s="10" customFormat="1">
      <c r="B92"/>
      <c r="C92" s="348" t="s">
        <v>300</v>
      </c>
      <c r="D92" s="317"/>
      <c r="E92" s="360" t="s">
        <v>172</v>
      </c>
      <c r="F92" s="353" t="s">
        <v>173</v>
      </c>
      <c r="G92" s="353" t="s">
        <v>174</v>
      </c>
      <c r="H92" s="353" t="s">
        <v>175</v>
      </c>
      <c r="I92" s="353" t="s">
        <v>176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301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181</v>
      </c>
      <c r="N93" s="138" t="s">
        <v>173</v>
      </c>
      <c r="O93" s="380" t="s">
        <v>174</v>
      </c>
      <c r="P93" s="138" t="s">
        <v>175</v>
      </c>
      <c r="Q93" s="264" t="s">
        <v>176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302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183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303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297</v>
      </c>
      <c r="G99"/>
      <c r="H99"/>
      <c r="I99"/>
      <c r="J99"/>
      <c r="K99" s="256"/>
      <c r="L99" s="138"/>
      <c r="M99" s="137" t="s">
        <v>181</v>
      </c>
      <c r="N99" s="138" t="s">
        <v>173</v>
      </c>
      <c r="O99" s="387" t="s">
        <v>174</v>
      </c>
      <c r="P99" s="138" t="s">
        <v>175</v>
      </c>
      <c r="Q99" s="264" t="s">
        <v>176</v>
      </c>
      <c r="R99"/>
      <c r="S99"/>
      <c r="T99" s="6"/>
      <c r="V99"/>
      <c r="W99"/>
    </row>
    <row r="100" spans="2:23" s="10" customFormat="1">
      <c r="B100"/>
      <c r="C100" s="6" t="s">
        <v>300</v>
      </c>
      <c r="D100"/>
      <c r="E100" s="135" t="s">
        <v>172</v>
      </c>
      <c r="F100" s="5" t="s">
        <v>173</v>
      </c>
      <c r="G100" s="388" t="s">
        <v>174</v>
      </c>
      <c r="H100" s="5" t="s">
        <v>175</v>
      </c>
      <c r="I100" s="5" t="s">
        <v>176</v>
      </c>
      <c r="J100"/>
      <c r="K100" s="256"/>
      <c r="L100" s="136" t="s">
        <v>182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301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303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302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220</v>
      </c>
      <c r="M105" s="2" t="s">
        <v>177</v>
      </c>
      <c r="N105" t="s">
        <v>281</v>
      </c>
    </row>
    <row r="106" spans="2:23">
      <c r="D106" s="159">
        <v>10000000</v>
      </c>
      <c r="E106" s="312" t="s">
        <v>304</v>
      </c>
      <c r="F106" s="312"/>
      <c r="G106" s="321">
        <v>0.66</v>
      </c>
      <c r="H106" s="327">
        <f>H101+H102</f>
        <v>0.26400000000000001</v>
      </c>
      <c r="I106" s="312" t="s">
        <v>223</v>
      </c>
      <c r="J106" s="312" t="s">
        <v>224</v>
      </c>
      <c r="K106" s="323">
        <f>D106*G106</f>
        <v>6600000</v>
      </c>
      <c r="L106" s="317" t="s">
        <v>305</v>
      </c>
      <c r="T106"/>
      <c r="U106" s="6"/>
      <c r="V106" s="10"/>
    </row>
    <row r="107" spans="2:23">
      <c r="D107" s="159">
        <v>12500000</v>
      </c>
      <c r="E107" t="s">
        <v>306</v>
      </c>
      <c r="G107" s="23">
        <v>0.48</v>
      </c>
      <c r="H107" s="327">
        <f>I101+G102</f>
        <v>0.24</v>
      </c>
      <c r="I107" t="s">
        <v>307</v>
      </c>
      <c r="J107" t="s">
        <v>308</v>
      </c>
      <c r="K107" s="323">
        <f t="shared" ref="K107:K109" si="10">D107*G107</f>
        <v>6000000</v>
      </c>
      <c r="L107" s="317"/>
      <c r="M107" s="368" t="s">
        <v>178</v>
      </c>
      <c r="N107" s="369" t="s">
        <v>290</v>
      </c>
      <c r="T107"/>
      <c r="U107" s="6"/>
      <c r="V107" s="10"/>
    </row>
    <row r="108" spans="2:23">
      <c r="D108" s="159">
        <v>20000000</v>
      </c>
      <c r="E108" t="s">
        <v>309</v>
      </c>
      <c r="G108" s="23">
        <f>14%+15%</f>
        <v>0.29000000000000004</v>
      </c>
      <c r="H108" s="327">
        <f>G101+H102</f>
        <v>0.28685714285714292</v>
      </c>
      <c r="I108" t="s">
        <v>310</v>
      </c>
      <c r="J108" t="s">
        <v>311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312</v>
      </c>
      <c r="G109" s="23">
        <f>14%+14%</f>
        <v>0.28000000000000003</v>
      </c>
      <c r="H109" s="327">
        <f>G101+I102</f>
        <v>0.28685714285714292</v>
      </c>
      <c r="I109" t="s">
        <v>227</v>
      </c>
      <c r="J109" t="s">
        <v>228</v>
      </c>
      <c r="K109" s="323">
        <f t="shared" si="10"/>
        <v>7000000.0000000009</v>
      </c>
      <c r="L109" s="348" t="s">
        <v>313</v>
      </c>
      <c r="M109" s="2" t="s">
        <v>179</v>
      </c>
      <c r="N109" t="s">
        <v>291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314</v>
      </c>
      <c r="G110" s="23">
        <f>14%+12%</f>
        <v>0.26</v>
      </c>
      <c r="H110" s="327">
        <f>G101+G102</f>
        <v>0.2628571428571429</v>
      </c>
      <c r="I110" t="s">
        <v>231</v>
      </c>
      <c r="J110" t="s">
        <v>232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315</v>
      </c>
      <c r="G111" s="23">
        <f t="shared" ref="G111:G115" si="11">14%+12%</f>
        <v>0.26</v>
      </c>
      <c r="H111" s="327">
        <f>G101+G102</f>
        <v>0.2628571428571429</v>
      </c>
      <c r="I111" t="s">
        <v>231</v>
      </c>
      <c r="J111" t="s">
        <v>232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180</v>
      </c>
      <c r="N111" t="s">
        <v>316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317</v>
      </c>
      <c r="G112" s="23">
        <f t="shared" si="11"/>
        <v>0.26</v>
      </c>
      <c r="H112" s="327">
        <f>G101+G102</f>
        <v>0.2628571428571429</v>
      </c>
      <c r="I112" t="s">
        <v>231</v>
      </c>
      <c r="J112" t="s">
        <v>232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318</v>
      </c>
      <c r="G113" s="23">
        <f t="shared" si="11"/>
        <v>0.26</v>
      </c>
      <c r="H113" s="327">
        <f>G101+G102</f>
        <v>0.2628571428571429</v>
      </c>
      <c r="I113" t="s">
        <v>231</v>
      </c>
      <c r="J113" t="s">
        <v>232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319</v>
      </c>
      <c r="G114" s="23">
        <f t="shared" si="11"/>
        <v>0.26</v>
      </c>
      <c r="H114" s="327">
        <f>G101+G102</f>
        <v>0.2628571428571429</v>
      </c>
      <c r="I114" t="s">
        <v>231</v>
      </c>
      <c r="J114" t="s">
        <v>232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259</v>
      </c>
      <c r="P114" s="348" t="s">
        <v>261</v>
      </c>
      <c r="Q114" s="348" t="s">
        <v>260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320</v>
      </c>
      <c r="G115" s="23">
        <f t="shared" si="11"/>
        <v>0.26</v>
      </c>
      <c r="H115" s="327">
        <f>G101+G102</f>
        <v>0.2628571428571429</v>
      </c>
      <c r="I115" t="s">
        <v>231</v>
      </c>
      <c r="J115" t="s">
        <v>232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321</v>
      </c>
      <c r="H117" s="249">
        <f>F101+F102</f>
        <v>0.42</v>
      </c>
      <c r="I117" t="s">
        <v>253</v>
      </c>
      <c r="J117" t="s">
        <v>254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259</v>
      </c>
      <c r="F119" s="396" t="s">
        <v>261</v>
      </c>
      <c r="G119" s="6" t="s">
        <v>260</v>
      </c>
    </row>
    <row r="120" spans="4:22">
      <c r="D120" s="24" t="s">
        <v>322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323</v>
      </c>
    </row>
    <row r="122" spans="4:22">
      <c r="F122" s="135"/>
    </row>
    <row r="123" spans="4:22">
      <c r="D123" s="24" t="s">
        <v>250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324</v>
      </c>
    </row>
    <row r="125" spans="4:22">
      <c r="D125" s="24"/>
      <c r="F125" s="135"/>
    </row>
    <row r="126" spans="4:22">
      <c r="D126" s="24" t="s">
        <v>257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325</v>
      </c>
    </row>
    <row r="128" spans="4:22">
      <c r="D128" s="24"/>
      <c r="F128" s="135"/>
    </row>
    <row r="129" spans="4:7">
      <c r="D129" s="24" t="s">
        <v>326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327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topLeftCell="A10" workbookViewId="0">
      <selection activeCell="G68" sqref="G68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375</v>
      </c>
    </row>
    <row r="2" spans="1:17" ht="23">
      <c r="A2" s="144"/>
      <c r="B2" s="144"/>
      <c r="G2" s="179" t="s">
        <v>192</v>
      </c>
      <c r="H2" s="179"/>
    </row>
    <row r="3" spans="1:17" ht="23">
      <c r="A3" s="144" t="s">
        <v>112</v>
      </c>
      <c r="B3" s="144"/>
      <c r="G3" s="179"/>
      <c r="H3" s="179"/>
      <c r="Q3" s="521" t="s">
        <v>120</v>
      </c>
    </row>
    <row r="4" spans="1:17" ht="19" thickBot="1">
      <c r="B4" s="522"/>
      <c r="C4" s="523" t="s">
        <v>193</v>
      </c>
      <c r="D4" s="524"/>
      <c r="E4" s="524"/>
      <c r="F4" s="524"/>
      <c r="G4" s="524"/>
      <c r="H4" s="524"/>
      <c r="I4" s="525"/>
      <c r="K4" s="177" t="s">
        <v>113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368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158</v>
      </c>
      <c r="I6" s="534" t="s">
        <v>157</v>
      </c>
      <c r="K6" s="531" t="s">
        <v>369</v>
      </c>
    </row>
    <row r="7" spans="1:17">
      <c r="B7" s="535" t="s">
        <v>140</v>
      </c>
      <c r="C7" s="536">
        <v>7000000</v>
      </c>
      <c r="D7" s="537"/>
      <c r="E7" s="538">
        <v>5</v>
      </c>
      <c r="F7" s="539"/>
      <c r="G7" s="540">
        <f>E7*C7</f>
        <v>35000000</v>
      </c>
      <c r="H7" s="541">
        <f>1000000000*0.025* 7</f>
        <v>175000000</v>
      </c>
      <c r="I7" s="542" t="s">
        <v>159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141</v>
      </c>
      <c r="D12" s="539"/>
      <c r="E12" s="559"/>
      <c r="F12" s="539"/>
      <c r="G12" s="19" t="s">
        <v>126</v>
      </c>
      <c r="H12" s="539"/>
      <c r="I12" s="560">
        <v>1</v>
      </c>
      <c r="J12" s="561"/>
      <c r="K12" s="557"/>
      <c r="P12" s="553"/>
    </row>
    <row r="13" spans="1:17" ht="20" customHeight="1">
      <c r="B13" s="532"/>
      <c r="C13" s="562" t="s">
        <v>142</v>
      </c>
      <c r="D13" s="539"/>
      <c r="E13" s="559"/>
      <c r="F13" s="539"/>
      <c r="G13" s="133" t="s">
        <v>115</v>
      </c>
      <c r="H13" s="563"/>
      <c r="I13" s="564">
        <v>0.2</v>
      </c>
      <c r="J13" s="561"/>
      <c r="K13" s="557"/>
      <c r="P13" s="553"/>
    </row>
    <row r="14" spans="1:17">
      <c r="B14" s="565" t="s">
        <v>97</v>
      </c>
      <c r="C14" s="566">
        <v>0.02</v>
      </c>
      <c r="D14" s="567"/>
      <c r="E14" s="559"/>
      <c r="F14" s="539"/>
      <c r="G14" s="133" t="s">
        <v>364</v>
      </c>
      <c r="H14" s="273" t="s">
        <v>184</v>
      </c>
      <c r="I14" s="568">
        <v>100000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365</v>
      </c>
      <c r="H15" s="273" t="s">
        <v>186</v>
      </c>
      <c r="I15" s="571">
        <f>G7</f>
        <v>35000000</v>
      </c>
      <c r="J15" s="561"/>
      <c r="K15" s="557"/>
      <c r="P15" s="553"/>
    </row>
    <row r="16" spans="1:17">
      <c r="B16" s="565" t="s">
        <v>104</v>
      </c>
      <c r="C16" s="566">
        <v>0</v>
      </c>
      <c r="D16" s="567"/>
      <c r="E16" s="570"/>
      <c r="F16" s="539"/>
      <c r="G16" s="133" t="s">
        <v>28</v>
      </c>
      <c r="H16" s="133"/>
      <c r="I16" s="147">
        <f>G7</f>
        <v>35000000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113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185</v>
      </c>
      <c r="L21" s="578"/>
      <c r="M21" s="587">
        <f>I15/D26</f>
        <v>1.4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1.4</v>
      </c>
      <c r="E22" s="578"/>
      <c r="F22" s="578"/>
      <c r="G22" s="590">
        <f>IF(I15&gt;D26,I14)</f>
        <v>100000</v>
      </c>
      <c r="H22" s="591" t="s">
        <v>7</v>
      </c>
      <c r="I22" s="592">
        <f>IF(I15&gt;D26,D22)</f>
        <v>1.4</v>
      </c>
      <c r="J22" s="586" t="s">
        <v>4</v>
      </c>
      <c r="K22" s="593">
        <f>I14*I22</f>
        <v>140000</v>
      </c>
      <c r="L22" s="586" t="s">
        <v>4</v>
      </c>
      <c r="M22" s="594">
        <f>I14</f>
        <v>100000</v>
      </c>
      <c r="N22" s="595" t="str">
        <f>"  /  " &amp; I15</f>
        <v xml:space="preserve">  /  35000000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10000000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366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4.0000000000000001E-3</v>
      </c>
      <c r="N25" s="596"/>
      <c r="O25" s="597"/>
      <c r="P25" s="16"/>
    </row>
    <row r="26" spans="2:16" ht="19" thickBot="1">
      <c r="B26" s="598"/>
      <c r="C26" s="599" t="s">
        <v>370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197</v>
      </c>
      <c r="I29" s="605" t="s">
        <v>196</v>
      </c>
      <c r="K29" s="609" t="s">
        <v>203</v>
      </c>
      <c r="P29" s="16"/>
    </row>
    <row r="30" spans="2:16" hidden="1">
      <c r="B30" s="610" t="s">
        <v>21</v>
      </c>
      <c r="C30" s="605" t="s">
        <v>200</v>
      </c>
      <c r="D30" s="605" t="s">
        <v>1</v>
      </c>
      <c r="E30" s="605"/>
      <c r="F30" s="605"/>
      <c r="G30" s="273" t="s">
        <v>198</v>
      </c>
      <c r="H30" s="431"/>
      <c r="I30" s="611" t="s">
        <v>202</v>
      </c>
      <c r="J30" s="539"/>
      <c r="K30" s="563" t="s">
        <v>360</v>
      </c>
      <c r="L30" s="539"/>
      <c r="M30" s="11" t="s">
        <v>13</v>
      </c>
      <c r="N30" s="431"/>
      <c r="P30" s="16"/>
    </row>
    <row r="31" spans="2:16" hidden="1">
      <c r="B31" s="535" t="s">
        <v>113</v>
      </c>
      <c r="C31" s="612">
        <f>I15</f>
        <v>35000000</v>
      </c>
      <c r="D31" s="613" t="s">
        <v>111</v>
      </c>
      <c r="E31" s="613" t="s">
        <v>98</v>
      </c>
      <c r="F31" s="614"/>
      <c r="G31" s="615">
        <f>I14</f>
        <v>100000</v>
      </c>
      <c r="H31" s="616" t="s">
        <v>199</v>
      </c>
      <c r="I31" s="617">
        <f>I15*(1-I13)</f>
        <v>28000000</v>
      </c>
      <c r="J31" s="606" t="s">
        <v>201</v>
      </c>
      <c r="K31" s="618">
        <f>G31</f>
        <v>100000</v>
      </c>
      <c r="L31" s="606" t="s">
        <v>4</v>
      </c>
      <c r="M31" s="9">
        <f>IF(I15&gt;=D35,K31/I31,0)</f>
        <v>3.5714285714285713E-3</v>
      </c>
      <c r="N31" s="619">
        <f>I15*M31</f>
        <v>125000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185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371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185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113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140000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1.4X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4.0000000000000001E-3</v>
      </c>
      <c r="P50" s="637"/>
      <c r="Q50" s="632">
        <f>O50*I16</f>
        <v>140000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4.0000000000000001E-3</v>
      </c>
      <c r="Q53" s="646">
        <f>Q50</f>
        <v>140000</v>
      </c>
      <c r="R53" s="18"/>
    </row>
    <row r="54" spans="2:18" ht="19" thickBot="1">
      <c r="B54" s="336"/>
      <c r="I54" s="647" t="s">
        <v>116</v>
      </c>
      <c r="Q54" s="243" t="str">
        <f>ROUND(Q53/I14,2) &amp; " X"</f>
        <v>1.4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152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143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35000000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363</v>
      </c>
      <c r="M61" s="153">
        <f>I16</f>
        <v>35000000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819" t="s">
        <v>376</v>
      </c>
      <c r="D65" s="678" t="s">
        <v>36</v>
      </c>
      <c r="E65" s="679"/>
      <c r="F65" s="680"/>
      <c r="G65" s="681" t="s">
        <v>76</v>
      </c>
      <c r="H65" s="681"/>
      <c r="I65" s="682"/>
      <c r="J65" s="682" t="s">
        <v>131</v>
      </c>
      <c r="K65" s="682"/>
      <c r="L65" s="682"/>
      <c r="M65" s="683" t="s">
        <v>367</v>
      </c>
      <c r="N65" s="684" t="s">
        <v>5</v>
      </c>
      <c r="O65" s="685"/>
      <c r="P65" s="539"/>
      <c r="Q65" s="657"/>
    </row>
    <row r="66" spans="2:17">
      <c r="B66" s="656"/>
      <c r="C66" s="686" t="s">
        <v>197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100000</v>
      </c>
      <c r="D67" s="695">
        <f>D35</f>
        <v>10000000</v>
      </c>
      <c r="E67" s="696"/>
      <c r="F67" s="697"/>
      <c r="G67" s="698">
        <v>0.01</v>
      </c>
      <c r="H67" s="698"/>
      <c r="I67" s="699"/>
      <c r="J67" s="700">
        <f>M59*G67</f>
        <v>350000</v>
      </c>
      <c r="K67" s="699"/>
      <c r="L67" s="699"/>
      <c r="M67" s="701" t="str">
        <f>ROUND(J67/C67,2) &amp; "X"</f>
        <v>3.5X</v>
      </c>
      <c r="N67" s="702">
        <f>G67*M61</f>
        <v>350000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75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63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367</v>
      </c>
      <c r="L71" s="539"/>
      <c r="M71" s="431" t="s">
        <v>367</v>
      </c>
      <c r="N71" s="431"/>
      <c r="O71" s="431" t="s">
        <v>367</v>
      </c>
      <c r="P71" s="539"/>
      <c r="Q71" s="706"/>
    </row>
    <row r="72" spans="2:17">
      <c r="B72" s="656"/>
      <c r="C72" s="707" t="s">
        <v>64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0.8</v>
      </c>
      <c r="K73" s="716">
        <f>J73*F73-(F73*K76)</f>
        <v>0.60000000000000009</v>
      </c>
      <c r="L73" s="711"/>
      <c r="M73" s="717">
        <f>K73*M59</f>
        <v>21000000.000000004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0.2</v>
      </c>
      <c r="L74" s="539"/>
      <c r="M74" s="662">
        <f>K74*M59</f>
        <v>7000000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109</v>
      </c>
      <c r="D75" s="539"/>
      <c r="E75" s="728"/>
      <c r="F75" s="723"/>
      <c r="G75" s="606"/>
      <c r="H75" s="606"/>
      <c r="I75" s="729" t="s">
        <v>34</v>
      </c>
      <c r="J75" s="730">
        <f>(1%*Q82)</f>
        <v>0.2</v>
      </c>
      <c r="K75" s="731">
        <f>J75</f>
        <v>0.2</v>
      </c>
      <c r="L75" s="539"/>
      <c r="M75" s="662">
        <f>K75*M59</f>
        <v>7000000</v>
      </c>
      <c r="N75" s="726"/>
      <c r="O75" s="727">
        <f>K75*I77</f>
        <v>1999999.9999999998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9999999.9999999981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99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35000000</v>
      </c>
      <c r="N78" s="748"/>
      <c r="O78" s="749">
        <f>SUM(O73:O76)</f>
        <v>10000000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151</v>
      </c>
      <c r="N79" s="539"/>
      <c r="O79" s="752">
        <f>M78/O78</f>
        <v>3.5</v>
      </c>
      <c r="P79" s="539" t="s">
        <v>55</v>
      </c>
      <c r="Q79" s="657"/>
    </row>
    <row r="80" spans="2:17">
      <c r="B80" s="704" t="s">
        <v>105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661"/>
      <c r="O80" s="661"/>
      <c r="P80" s="661"/>
      <c r="Q80" s="812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35000000</v>
      </c>
      <c r="M81" s="757"/>
      <c r="N81" s="661"/>
      <c r="O81" s="661"/>
      <c r="P81" s="813" t="s">
        <v>114</v>
      </c>
      <c r="Q81" s="812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0.60000000000000009</v>
      </c>
      <c r="G82" s="761"/>
      <c r="H82" s="761"/>
      <c r="I82" s="762"/>
      <c r="J82" s="763"/>
      <c r="K82" s="763"/>
      <c r="L82" s="28">
        <f>F82*L81</f>
        <v>21000000.000000004</v>
      </c>
      <c r="M82" s="764"/>
      <c r="N82" s="661"/>
      <c r="O82" s="666" t="s">
        <v>65</v>
      </c>
      <c r="P82" s="661"/>
      <c r="Q82" s="814">
        <v>20</v>
      </c>
      <c r="S82" s="765">
        <f>Q83*Q82</f>
        <v>400000</v>
      </c>
    </row>
    <row r="83" spans="2:19">
      <c r="B83" s="656"/>
      <c r="C83" s="19" t="s">
        <v>32</v>
      </c>
      <c r="D83" s="766">
        <f>O74</f>
        <v>2000000</v>
      </c>
      <c r="E83" s="755"/>
      <c r="F83" s="767">
        <f>K74</f>
        <v>0.2</v>
      </c>
      <c r="G83" s="768"/>
      <c r="H83" s="768"/>
      <c r="I83" s="142"/>
      <c r="J83" s="755"/>
      <c r="K83" s="755"/>
      <c r="L83" s="27">
        <f>F83*L81</f>
        <v>7000000</v>
      </c>
      <c r="M83" s="757"/>
      <c r="N83" s="661"/>
      <c r="O83" s="815" t="s">
        <v>66</v>
      </c>
      <c r="P83" s="816"/>
      <c r="Q83" s="817">
        <f>'ROUND A CAP TABLE'!F22*(O78/Q82)</f>
        <v>20000</v>
      </c>
      <c r="S83" s="608">
        <f>S82/O78</f>
        <v>0.04</v>
      </c>
    </row>
    <row r="84" spans="2:19">
      <c r="B84" s="656"/>
      <c r="C84" s="19" t="s">
        <v>33</v>
      </c>
      <c r="D84" s="758">
        <f t="shared" ref="D84:D85" si="0">O75</f>
        <v>1999999.9999999998</v>
      </c>
      <c r="E84" s="759"/>
      <c r="F84" s="760">
        <f t="shared" ref="F84:F85" si="1">K75</f>
        <v>0.2</v>
      </c>
      <c r="G84" s="769"/>
      <c r="H84" s="769"/>
      <c r="I84" s="762"/>
      <c r="J84" s="763"/>
      <c r="K84" s="763"/>
      <c r="L84" s="28">
        <f>F84*L81</f>
        <v>7000000</v>
      </c>
      <c r="M84" s="764"/>
      <c r="N84" s="661"/>
      <c r="O84" s="660" t="s">
        <v>187</v>
      </c>
      <c r="P84" s="661"/>
      <c r="Q84" s="818">
        <f>J67</f>
        <v>350000</v>
      </c>
    </row>
    <row r="85" spans="2:19">
      <c r="B85" s="656"/>
      <c r="C85" s="19" t="s">
        <v>52</v>
      </c>
      <c r="D85" s="770">
        <f t="shared" si="0"/>
        <v>0</v>
      </c>
      <c r="E85" s="771"/>
      <c r="F85" s="767">
        <f t="shared" si="1"/>
        <v>0</v>
      </c>
      <c r="G85" s="772"/>
      <c r="H85" s="772"/>
      <c r="I85" s="142"/>
      <c r="J85" s="755"/>
      <c r="K85" s="755"/>
      <c r="L85" s="27">
        <f>F85*L81</f>
        <v>0</v>
      </c>
      <c r="M85" s="757"/>
      <c r="N85" s="661"/>
      <c r="O85" s="666" t="s">
        <v>361</v>
      </c>
      <c r="P85" s="661"/>
      <c r="Q85" s="814" t="str">
        <f>ROUND(Q84/C67,2) &amp; " X"</f>
        <v>3.5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3"/>
      <c r="J86" s="651"/>
      <c r="K86" s="651"/>
      <c r="L86" s="651"/>
      <c r="M86" s="651"/>
      <c r="N86" s="651"/>
      <c r="O86" s="651"/>
      <c r="P86" s="651"/>
      <c r="Q86" s="774"/>
    </row>
    <row r="87" spans="2:19" ht="19" thickTop="1"/>
    <row r="88" spans="2:19">
      <c r="B88" s="775"/>
      <c r="C88" s="776"/>
      <c r="D88" s="776"/>
      <c r="E88" s="776"/>
      <c r="F88" s="776"/>
      <c r="G88" s="776"/>
      <c r="H88" s="776"/>
      <c r="I88" s="777" t="s">
        <v>101</v>
      </c>
      <c r="J88" s="776"/>
      <c r="K88" s="776"/>
      <c r="L88" s="776"/>
      <c r="M88" s="776"/>
      <c r="N88" s="776"/>
      <c r="O88" s="776"/>
      <c r="P88" s="776"/>
      <c r="Q88" s="778"/>
    </row>
    <row r="89" spans="2:19">
      <c r="B89" s="779"/>
      <c r="C89" s="678"/>
      <c r="D89" s="780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1"/>
      <c r="Q89" s="782"/>
    </row>
    <row r="90" spans="2:19">
      <c r="B90" s="783" t="s">
        <v>103</v>
      </c>
      <c r="C90" s="606" t="s">
        <v>100</v>
      </c>
      <c r="D90" s="606" t="s">
        <v>70</v>
      </c>
      <c r="E90" s="606"/>
      <c r="F90" s="606" t="s">
        <v>70</v>
      </c>
      <c r="G90" s="606"/>
      <c r="H90" s="606"/>
      <c r="I90" s="606" t="s">
        <v>73</v>
      </c>
      <c r="J90" s="606"/>
      <c r="K90" s="606"/>
      <c r="L90" s="440"/>
      <c r="M90" s="440"/>
      <c r="N90" s="440"/>
      <c r="O90" s="440"/>
      <c r="P90" s="440"/>
      <c r="Q90" s="784"/>
      <c r="S90" s="336"/>
    </row>
    <row r="91" spans="2:19">
      <c r="B91" s="783" t="s">
        <v>44</v>
      </c>
      <c r="C91" s="606" t="s">
        <v>71</v>
      </c>
      <c r="D91" s="606" t="s">
        <v>74</v>
      </c>
      <c r="E91" s="606"/>
      <c r="F91" s="606" t="s">
        <v>69</v>
      </c>
      <c r="G91" s="606"/>
      <c r="H91" s="606"/>
      <c r="I91" s="606" t="s">
        <v>102</v>
      </c>
      <c r="J91" s="606"/>
      <c r="K91" s="606"/>
      <c r="Q91" s="784"/>
      <c r="S91" s="336"/>
    </row>
    <row r="92" spans="2:19" ht="20">
      <c r="B92" s="785">
        <f>C16</f>
        <v>0</v>
      </c>
      <c r="C92" s="792">
        <f>C14</f>
        <v>0.02</v>
      </c>
      <c r="D92" s="805">
        <v>0.8</v>
      </c>
      <c r="E92" s="805"/>
      <c r="F92" s="792">
        <f>C92*D92</f>
        <v>1.6E-2</v>
      </c>
      <c r="G92" s="792"/>
      <c r="H92" s="792"/>
      <c r="I92" s="792">
        <f>G67</f>
        <v>0.01</v>
      </c>
      <c r="J92" s="606"/>
      <c r="K92" s="787">
        <f>I92+F92</f>
        <v>2.6000000000000002E-2</v>
      </c>
      <c r="Q92" s="784"/>
      <c r="R92" s="336"/>
      <c r="S92" s="336"/>
    </row>
    <row r="93" spans="2:19">
      <c r="B93" s="785"/>
      <c r="C93" s="786"/>
      <c r="D93" s="725"/>
      <c r="E93" s="725"/>
      <c r="F93" s="787"/>
      <c r="G93" s="787"/>
      <c r="H93" s="787"/>
      <c r="I93" s="787"/>
      <c r="J93" s="606"/>
      <c r="K93" s="606"/>
      <c r="Q93" s="784"/>
      <c r="R93" s="336"/>
      <c r="S93" s="336"/>
    </row>
    <row r="94" spans="2:19" ht="23">
      <c r="B94" s="785"/>
      <c r="C94" s="786"/>
      <c r="D94" s="725"/>
      <c r="E94" s="725"/>
      <c r="F94" s="787"/>
      <c r="G94" s="787"/>
      <c r="H94" s="787"/>
      <c r="I94" s="793"/>
      <c r="J94" s="794"/>
      <c r="K94" s="794"/>
      <c r="L94" s="795"/>
      <c r="M94" s="796"/>
      <c r="N94" s="796"/>
      <c r="O94" s="432"/>
      <c r="P94" s="432"/>
      <c r="Q94" s="797"/>
      <c r="R94" s="336"/>
      <c r="S94" s="336"/>
    </row>
    <row r="95" spans="2:19" ht="23">
      <c r="B95" s="785"/>
      <c r="C95" s="786"/>
      <c r="D95" s="725"/>
      <c r="E95" s="725"/>
      <c r="F95" s="787"/>
      <c r="G95" s="787"/>
      <c r="H95" s="787"/>
      <c r="I95" s="798" t="s">
        <v>372</v>
      </c>
      <c r="J95" s="798"/>
      <c r="K95" s="798"/>
      <c r="L95" s="795"/>
      <c r="M95" s="796" t="s">
        <v>373</v>
      </c>
      <c r="N95" s="796"/>
      <c r="O95" s="811" t="s">
        <v>374</v>
      </c>
      <c r="P95" s="432"/>
      <c r="Q95" s="797"/>
      <c r="R95" s="336"/>
      <c r="S95" s="336"/>
    </row>
    <row r="96" spans="2:19" ht="23">
      <c r="B96" s="785"/>
      <c r="C96" s="786"/>
      <c r="D96" s="725"/>
      <c r="E96" s="725"/>
      <c r="F96" s="787"/>
      <c r="G96" s="787"/>
      <c r="H96" s="787"/>
      <c r="I96" s="179"/>
      <c r="J96" s="179"/>
      <c r="K96" s="806">
        <f>O53</f>
        <v>4.0000000000000001E-3</v>
      </c>
      <c r="L96" s="807"/>
      <c r="M96" s="808">
        <f>F92+I92+B92</f>
        <v>2.6000000000000002E-2</v>
      </c>
      <c r="N96" s="809"/>
      <c r="O96" s="809"/>
      <c r="P96" s="810">
        <f>M96+K96</f>
        <v>3.0000000000000002E-2</v>
      </c>
      <c r="Q96" s="799"/>
      <c r="R96" s="336"/>
      <c r="S96" s="336"/>
    </row>
    <row r="97" spans="2:19" ht="23">
      <c r="B97" s="785"/>
      <c r="C97" s="786"/>
      <c r="D97" s="725"/>
      <c r="E97" s="725"/>
      <c r="F97" s="787"/>
      <c r="G97" s="787"/>
      <c r="H97" s="787"/>
      <c r="I97" s="179"/>
      <c r="J97" s="179"/>
      <c r="K97" s="800"/>
      <c r="L97" s="795"/>
      <c r="M97" s="801"/>
      <c r="N97" s="802"/>
      <c r="O97" s="802"/>
      <c r="P97" s="432"/>
      <c r="Q97" s="797"/>
      <c r="R97" s="336"/>
      <c r="S97" s="336"/>
    </row>
    <row r="98" spans="2:19" ht="23">
      <c r="B98" s="785"/>
      <c r="C98" s="786"/>
      <c r="D98" s="725"/>
      <c r="E98" s="725"/>
      <c r="F98" s="787"/>
      <c r="G98" s="787"/>
      <c r="H98" s="787"/>
      <c r="I98" s="179"/>
      <c r="J98" s="179"/>
      <c r="K98" s="800"/>
      <c r="L98" s="795"/>
      <c r="M98" s="801"/>
      <c r="N98" s="802"/>
      <c r="O98" s="803" t="s">
        <v>72</v>
      </c>
      <c r="P98" s="803"/>
      <c r="Q98" s="804"/>
      <c r="R98" s="336"/>
      <c r="S98" s="336"/>
    </row>
    <row r="99" spans="2:19" ht="23">
      <c r="B99" s="785"/>
      <c r="C99" s="786"/>
      <c r="D99" s="725"/>
      <c r="E99" s="725"/>
      <c r="F99" s="787"/>
      <c r="G99" s="787"/>
      <c r="H99" s="787"/>
      <c r="I99" s="179"/>
      <c r="J99" s="179"/>
      <c r="K99" s="800"/>
      <c r="L99" s="795"/>
      <c r="M99" s="801"/>
      <c r="N99" s="802"/>
      <c r="O99" s="441">
        <f>M61*P96</f>
        <v>1050000</v>
      </c>
      <c r="P99" s="441"/>
      <c r="Q99" s="797" t="str">
        <f>"    " &amp; ROUND(O99/I14,2) &amp; " X "</f>
        <v xml:space="preserve">    10.5 X </v>
      </c>
      <c r="R99" s="336"/>
      <c r="S99" s="336"/>
    </row>
    <row r="100" spans="2:19">
      <c r="B100" s="788"/>
      <c r="C100" s="789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0"/>
      <c r="Q100" s="791"/>
    </row>
    <row r="102" spans="2:19">
      <c r="C102" s="605"/>
      <c r="D102" s="605"/>
      <c r="E102" s="605"/>
      <c r="F102" s="605"/>
      <c r="G102" s="605"/>
      <c r="H102" s="605" t="s">
        <v>67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68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112</v>
      </c>
      <c r="M3" s="242" t="s">
        <v>154</v>
      </c>
      <c r="N3" s="7"/>
    </row>
    <row r="4" spans="3:19" ht="23">
      <c r="L4" s="24" t="s">
        <v>156</v>
      </c>
      <c r="M4" s="246">
        <v>25000000</v>
      </c>
      <c r="N4" s="149" t="s">
        <v>153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155</v>
      </c>
      <c r="P6" s="487" t="s">
        <v>134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121</v>
      </c>
      <c r="G9" s="232"/>
      <c r="M9" s="455" t="s">
        <v>80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194</v>
      </c>
      <c r="G10" s="296"/>
      <c r="M10" s="458" t="s">
        <v>135</v>
      </c>
      <c r="N10" s="459"/>
      <c r="O10" s="460"/>
      <c r="P10" s="89"/>
      <c r="Q10" s="89"/>
      <c r="R10" s="89"/>
      <c r="S10" s="7"/>
    </row>
    <row r="11" spans="3:19" ht="25">
      <c r="C11" s="157" t="s">
        <v>139</v>
      </c>
      <c r="H11" s="7"/>
      <c r="L11" s="7"/>
      <c r="M11" s="461" t="s">
        <v>31</v>
      </c>
      <c r="N11" s="462"/>
      <c r="O11" s="463"/>
      <c r="P11" s="88">
        <f>+P9*N45</f>
        <v>54000000</v>
      </c>
      <c r="Q11" s="88">
        <f>+Q9*N45</f>
        <v>90000000</v>
      </c>
      <c r="R11" s="88">
        <f>+R9*N45</f>
        <v>126000000</v>
      </c>
      <c r="S11" s="7"/>
    </row>
    <row r="12" spans="3:19" ht="25">
      <c r="C12" s="157" t="s">
        <v>138</v>
      </c>
      <c r="J12" s="181" t="s">
        <v>189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136</v>
      </c>
      <c r="N13" s="467"/>
      <c r="O13" s="468"/>
      <c r="P13" s="92"/>
      <c r="Q13" s="92"/>
      <c r="R13" s="92"/>
      <c r="S13" s="7"/>
    </row>
    <row r="14" spans="3:19" ht="25">
      <c r="J14" s="128" t="s">
        <v>133</v>
      </c>
      <c r="L14" s="7"/>
      <c r="M14" s="469" t="s">
        <v>32</v>
      </c>
      <c r="N14" s="470"/>
      <c r="O14" s="471"/>
      <c r="P14" s="172">
        <f>+P9*N48</f>
        <v>18000000</v>
      </c>
      <c r="Q14" s="172">
        <f>+Q9*N48</f>
        <v>30000000</v>
      </c>
      <c r="R14" s="172">
        <f>+R9*N48</f>
        <v>42000000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119</v>
      </c>
      <c r="J16" s="509"/>
      <c r="K16" s="510"/>
      <c r="L16" s="7"/>
      <c r="M16" s="472" t="s">
        <v>89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110</v>
      </c>
      <c r="N17" s="476"/>
      <c r="O17" s="477"/>
      <c r="P17" s="87">
        <f>+P9*N51</f>
        <v>3000000</v>
      </c>
      <c r="Q17" s="87">
        <f>+Q9*N51</f>
        <v>5000000</v>
      </c>
      <c r="R17" s="87">
        <f>+R9*N51</f>
        <v>7000000</v>
      </c>
      <c r="S17" s="7"/>
    </row>
    <row r="18" spans="2:27" ht="25">
      <c r="D18" s="26" t="s">
        <v>195</v>
      </c>
      <c r="H18" s="7"/>
      <c r="I18" s="129" t="s">
        <v>45</v>
      </c>
      <c r="J18" s="130" t="s">
        <v>44</v>
      </c>
      <c r="K18" s="175" t="s">
        <v>124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2" t="s">
        <v>108</v>
      </c>
      <c r="N19" s="473"/>
      <c r="O19" s="474"/>
      <c r="P19" s="90"/>
      <c r="Q19" s="90"/>
      <c r="R19" s="90"/>
      <c r="S19" s="7"/>
    </row>
    <row r="20" spans="2:27" ht="23">
      <c r="C20" s="184" t="s">
        <v>127</v>
      </c>
      <c r="D20" s="185" t="s">
        <v>131</v>
      </c>
      <c r="E20" s="185" t="s">
        <v>132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5" t="s">
        <v>110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128</v>
      </c>
      <c r="D21" s="188" t="s">
        <v>130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4.0000000000000001E-3</v>
      </c>
      <c r="E22" s="191">
        <v>10</v>
      </c>
      <c r="F22" s="192">
        <f>E22*D22</f>
        <v>0.04</v>
      </c>
      <c r="G22" s="193">
        <f>F22*'SAFE SERIES ONE'!O78</f>
        <v>400000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8" t="s">
        <v>88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123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129</v>
      </c>
      <c r="F25" s="199">
        <f>SUM(F22:F24)</f>
        <v>0.04</v>
      </c>
      <c r="G25" s="200">
        <f>SUM(G22:G24)</f>
        <v>400000</v>
      </c>
      <c r="I25" s="123"/>
      <c r="J25" s="124"/>
      <c r="K25" s="93"/>
      <c r="L25" s="7"/>
      <c r="M25" s="484" t="s">
        <v>87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191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145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118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90</v>
      </c>
      <c r="M34" s="518"/>
      <c r="N34" s="519"/>
      <c r="O34" s="109"/>
    </row>
    <row r="35" spans="2:20" ht="36">
      <c r="B35" s="108"/>
      <c r="C35" s="158" t="s">
        <v>137</v>
      </c>
      <c r="D35" s="7"/>
      <c r="E35" s="7"/>
      <c r="F35" s="7"/>
      <c r="G35" s="7"/>
      <c r="H35" s="443" t="s">
        <v>150</v>
      </c>
      <c r="I35" s="446"/>
      <c r="J35" s="29">
        <f>'SAFE SERIES ONE'!D35</f>
        <v>10000000</v>
      </c>
      <c r="K35" s="7"/>
      <c r="L35" s="443" t="s">
        <v>77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149</v>
      </c>
      <c r="I36" s="446"/>
      <c r="J36" s="29">
        <f>'SAFE SERIES ONE'!C60</f>
        <v>2000000</v>
      </c>
      <c r="K36" s="7"/>
      <c r="L36" s="443" t="s">
        <v>117</v>
      </c>
      <c r="M36" s="439"/>
      <c r="N36" s="29">
        <f>J36</f>
        <v>2000000</v>
      </c>
      <c r="O36" s="300" t="s">
        <v>190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146</v>
      </c>
      <c r="M37" s="439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148</v>
      </c>
      <c r="I38" s="446"/>
      <c r="J38" s="239">
        <f>J36/J41</f>
        <v>100000</v>
      </c>
      <c r="K38" s="7"/>
      <c r="L38" s="443" t="s">
        <v>122</v>
      </c>
      <c r="M38" s="446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147</v>
      </c>
      <c r="I39" s="446"/>
      <c r="J39" s="238">
        <f>D22</f>
        <v>4.0000000000000001E-3</v>
      </c>
      <c r="K39" s="7"/>
      <c r="L39" s="506" t="s">
        <v>78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96</v>
      </c>
      <c r="F40" s="450"/>
      <c r="G40" s="7"/>
      <c r="H40" s="443"/>
      <c r="I40" s="446"/>
      <c r="J40" s="30"/>
      <c r="K40" s="7"/>
      <c r="L40" s="443" t="s">
        <v>79</v>
      </c>
      <c r="M40" s="446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188</v>
      </c>
      <c r="J41" s="160">
        <f>'SAFE SERIES ONE'!Q82</f>
        <v>20</v>
      </c>
      <c r="K41" s="7"/>
      <c r="L41" s="496" t="s">
        <v>106</v>
      </c>
      <c r="M41" s="497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362</v>
      </c>
      <c r="J42" s="423"/>
      <c r="K42" s="7"/>
      <c r="L42" s="498" t="s">
        <v>107</v>
      </c>
      <c r="M42" s="499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80</v>
      </c>
      <c r="D43" s="102" t="s">
        <v>81</v>
      </c>
      <c r="E43" s="103" t="s">
        <v>95</v>
      </c>
      <c r="F43" s="103" t="s">
        <v>82</v>
      </c>
      <c r="G43" s="7"/>
      <c r="H43" s="103" t="s">
        <v>94</v>
      </c>
      <c r="I43" s="103" t="s">
        <v>93</v>
      </c>
      <c r="J43" s="103" t="s">
        <v>82</v>
      </c>
      <c r="K43" s="7"/>
      <c r="L43" s="103" t="s">
        <v>92</v>
      </c>
      <c r="M43" s="103" t="s">
        <v>83</v>
      </c>
      <c r="N43" s="103" t="s">
        <v>125</v>
      </c>
      <c r="O43" s="109"/>
      <c r="P43" s="7"/>
      <c r="T43" s="7"/>
    </row>
    <row r="44" spans="2:20" ht="23">
      <c r="B44" s="108"/>
      <c r="C44" s="31" t="s">
        <v>91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84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0.72</v>
      </c>
      <c r="K45" s="7"/>
      <c r="L45" s="277"/>
      <c r="M45" s="41">
        <f>I45</f>
        <v>6000000</v>
      </c>
      <c r="N45" s="40">
        <f>F45*(1-N54-N51)</f>
        <v>0.72</v>
      </c>
      <c r="O45" s="303">
        <f>N45+N48</f>
        <v>0.96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86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84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0.24</v>
      </c>
      <c r="K48" s="7"/>
      <c r="L48" s="280"/>
      <c r="M48" s="68">
        <f>I48</f>
        <v>2000000</v>
      </c>
      <c r="N48" s="67">
        <f>F48*(1-N54-N51)</f>
        <v>0.24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89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110</v>
      </c>
      <c r="D51" s="50" t="s">
        <v>84</v>
      </c>
      <c r="E51" s="44"/>
      <c r="F51" s="45"/>
      <c r="G51" s="7"/>
      <c r="H51" s="424">
        <f>'SAFE SERIES ONE'!Q82*'SAFE SERIES ONE'!Q83</f>
        <v>400000</v>
      </c>
      <c r="I51" s="425">
        <f>H51</f>
        <v>400000</v>
      </c>
      <c r="J51" s="426">
        <f>'SAFE SERIES ONE'!S83</f>
        <v>0.04</v>
      </c>
      <c r="K51" s="7"/>
      <c r="L51" s="282"/>
      <c r="M51" s="51">
        <f>I51</f>
        <v>400000</v>
      </c>
      <c r="N51" s="52">
        <f>M51/M56</f>
        <v>0.04</v>
      </c>
      <c r="O51" s="303">
        <f>N51</f>
        <v>0.04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88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85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87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400000</v>
      </c>
      <c r="I56" s="225">
        <f>SUM(I45:I54)</f>
        <v>8400000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8400000</v>
      </c>
      <c r="M57" s="274">
        <f>M54+M51+M48+M45</f>
        <v>8400000</v>
      </c>
      <c r="N57" s="111"/>
      <c r="O57" s="112"/>
      <c r="P57" s="7"/>
      <c r="Q57" s="7"/>
      <c r="R57" s="7"/>
    </row>
    <row r="59" spans="2:23">
      <c r="C59" s="442" t="s">
        <v>67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68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328</v>
      </c>
      <c r="G2" s="179"/>
      <c r="P2" s="24" t="s">
        <v>205</v>
      </c>
      <c r="Q2" s="180" t="s">
        <v>329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299</v>
      </c>
      <c r="K5" s="400">
        <v>100000000</v>
      </c>
      <c r="L5" s="374" t="s">
        <v>330</v>
      </c>
      <c r="M5" s="4"/>
      <c r="N5" s="4"/>
      <c r="O5" s="4"/>
      <c r="P5" s="4"/>
      <c r="Q5" s="375" t="s">
        <v>299</v>
      </c>
    </row>
    <row r="6" spans="2:17">
      <c r="B6" s="376"/>
      <c r="C6" s="22"/>
      <c r="D6" s="22"/>
      <c r="E6" s="22"/>
      <c r="F6" s="377" t="s">
        <v>174</v>
      </c>
      <c r="G6" s="377" t="b">
        <v>0</v>
      </c>
      <c r="H6" s="378" t="b">
        <v>0</v>
      </c>
      <c r="K6" s="376"/>
      <c r="L6" s="22"/>
      <c r="M6" s="22"/>
      <c r="N6" s="22"/>
      <c r="O6" s="377" t="s">
        <v>174</v>
      </c>
      <c r="P6" s="377" t="b">
        <v>0</v>
      </c>
      <c r="Q6" s="378" t="b">
        <v>0</v>
      </c>
    </row>
    <row r="7" spans="2:17">
      <c r="B7" s="256"/>
      <c r="C7" s="25"/>
      <c r="D7" s="137" t="s">
        <v>181</v>
      </c>
      <c r="E7" s="387" t="s">
        <v>173</v>
      </c>
      <c r="F7" s="380" t="s">
        <v>174</v>
      </c>
      <c r="G7" s="401" t="s">
        <v>175</v>
      </c>
      <c r="H7" s="402" t="s">
        <v>176</v>
      </c>
      <c r="K7" s="256"/>
      <c r="L7" s="25"/>
      <c r="M7" s="137" t="s">
        <v>181</v>
      </c>
      <c r="N7" s="401" t="s">
        <v>173</v>
      </c>
      <c r="O7" s="380" t="s">
        <v>174</v>
      </c>
      <c r="P7" s="401" t="s">
        <v>175</v>
      </c>
      <c r="Q7" s="402" t="s">
        <v>176</v>
      </c>
    </row>
    <row r="8" spans="2:17">
      <c r="B8" s="256"/>
      <c r="C8" s="136" t="s">
        <v>183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183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331</v>
      </c>
      <c r="D9" s="233"/>
      <c r="E9" s="391" t="s">
        <v>332</v>
      </c>
      <c r="F9" s="384" t="s">
        <v>333</v>
      </c>
      <c r="G9" s="391" t="s">
        <v>334</v>
      </c>
      <c r="H9" s="406" t="s">
        <v>332</v>
      </c>
      <c r="K9" s="256"/>
      <c r="L9" s="138" t="s">
        <v>331</v>
      </c>
      <c r="M9" s="233"/>
      <c r="N9" s="407" t="s">
        <v>332</v>
      </c>
      <c r="O9" s="384" t="s">
        <v>335</v>
      </c>
      <c r="P9" s="391" t="s">
        <v>334</v>
      </c>
      <c r="Q9" s="406" t="s">
        <v>332</v>
      </c>
    </row>
    <row r="10" spans="2:17">
      <c r="B10" s="256"/>
      <c r="C10" s="138"/>
      <c r="D10" s="258" t="s">
        <v>160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160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176</v>
      </c>
      <c r="K12" s="256"/>
      <c r="L12" s="138"/>
      <c r="M12" s="233"/>
      <c r="N12" s="414"/>
      <c r="O12" s="377" t="s">
        <v>174</v>
      </c>
      <c r="P12" s="377" t="b">
        <v>0</v>
      </c>
      <c r="Q12" s="378" t="b">
        <v>0</v>
      </c>
    </row>
    <row r="13" spans="2:17">
      <c r="B13" s="256"/>
      <c r="C13" s="138"/>
      <c r="D13" s="137" t="s">
        <v>181</v>
      </c>
      <c r="E13" s="387" t="s">
        <v>173</v>
      </c>
      <c r="F13" s="401" t="s">
        <v>174</v>
      </c>
      <c r="G13" s="401" t="s">
        <v>175</v>
      </c>
      <c r="H13" s="264" t="s">
        <v>176</v>
      </c>
      <c r="K13" s="256"/>
      <c r="L13" s="138"/>
      <c r="M13" s="137" t="s">
        <v>181</v>
      </c>
      <c r="N13" s="401" t="s">
        <v>173</v>
      </c>
      <c r="O13" s="387" t="s">
        <v>174</v>
      </c>
      <c r="P13" s="401" t="s">
        <v>175</v>
      </c>
      <c r="Q13" s="402" t="s">
        <v>176</v>
      </c>
    </row>
    <row r="14" spans="2:17">
      <c r="B14" s="256"/>
      <c r="C14" s="136" t="s">
        <v>182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182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331</v>
      </c>
      <c r="D15" s="7"/>
      <c r="E15" s="391" t="s">
        <v>332</v>
      </c>
      <c r="F15" s="416" t="s">
        <v>334</v>
      </c>
      <c r="G15" s="391" t="s">
        <v>334</v>
      </c>
      <c r="H15" s="261" t="s">
        <v>332</v>
      </c>
      <c r="K15" s="256"/>
      <c r="L15" s="138" t="s">
        <v>331</v>
      </c>
      <c r="M15" s="7"/>
      <c r="N15" s="407" t="s">
        <v>332</v>
      </c>
      <c r="O15" s="391" t="s">
        <v>336</v>
      </c>
      <c r="P15" s="391" t="s">
        <v>334</v>
      </c>
      <c r="Q15" s="406" t="s">
        <v>332</v>
      </c>
    </row>
    <row r="16" spans="2:17">
      <c r="B16" s="256"/>
      <c r="C16" s="7"/>
      <c r="D16" s="258" t="s">
        <v>160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160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299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299</v>
      </c>
    </row>
    <row r="21" spans="2:17">
      <c r="B21" s="376"/>
      <c r="C21" s="22"/>
      <c r="D21" s="22"/>
      <c r="E21" s="414"/>
      <c r="F21" s="377" t="s">
        <v>174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174</v>
      </c>
      <c r="P21" s="377" t="b">
        <v>0</v>
      </c>
      <c r="Q21" s="378" t="b">
        <v>0</v>
      </c>
    </row>
    <row r="22" spans="2:17">
      <c r="B22" s="256"/>
      <c r="C22" s="25"/>
      <c r="D22" s="137" t="s">
        <v>181</v>
      </c>
      <c r="E22" s="401" t="s">
        <v>173</v>
      </c>
      <c r="F22" s="380" t="s">
        <v>174</v>
      </c>
      <c r="G22" s="401" t="s">
        <v>175</v>
      </c>
      <c r="H22" s="402" t="s">
        <v>176</v>
      </c>
      <c r="K22" s="256"/>
      <c r="L22" s="25"/>
      <c r="M22" s="137" t="s">
        <v>181</v>
      </c>
      <c r="N22" s="401" t="s">
        <v>173</v>
      </c>
      <c r="O22" s="380" t="s">
        <v>174</v>
      </c>
      <c r="P22" s="401" t="s">
        <v>175</v>
      </c>
      <c r="Q22" s="402" t="s">
        <v>176</v>
      </c>
    </row>
    <row r="23" spans="2:17">
      <c r="B23" s="256"/>
      <c r="C23" s="136" t="s">
        <v>183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183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331</v>
      </c>
      <c r="D24" s="233"/>
      <c r="E24" s="407" t="s">
        <v>332</v>
      </c>
      <c r="F24" s="384" t="s">
        <v>337</v>
      </c>
      <c r="G24" s="391" t="s">
        <v>334</v>
      </c>
      <c r="H24" s="406" t="s">
        <v>332</v>
      </c>
      <c r="K24" s="256"/>
      <c r="L24" s="138" t="s">
        <v>331</v>
      </c>
      <c r="M24" s="233"/>
      <c r="N24" s="407" t="s">
        <v>332</v>
      </c>
      <c r="O24" s="384" t="s">
        <v>338</v>
      </c>
      <c r="P24" s="391" t="s">
        <v>334</v>
      </c>
      <c r="Q24" s="406" t="s">
        <v>332</v>
      </c>
    </row>
    <row r="25" spans="2:17">
      <c r="B25" s="256"/>
      <c r="C25" s="138"/>
      <c r="D25" s="258" t="s">
        <v>160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160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174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174</v>
      </c>
      <c r="P27" s="377" t="b">
        <v>0</v>
      </c>
      <c r="Q27" s="378" t="b">
        <v>0</v>
      </c>
    </row>
    <row r="28" spans="2:17">
      <c r="B28" s="256"/>
      <c r="C28" s="138"/>
      <c r="D28" s="137" t="s">
        <v>181</v>
      </c>
      <c r="E28" s="401" t="s">
        <v>173</v>
      </c>
      <c r="F28" s="387" t="s">
        <v>174</v>
      </c>
      <c r="G28" s="401" t="s">
        <v>175</v>
      </c>
      <c r="H28" s="402" t="s">
        <v>176</v>
      </c>
      <c r="K28" s="256"/>
      <c r="L28" s="138"/>
      <c r="M28" s="137" t="s">
        <v>181</v>
      </c>
      <c r="N28" s="401" t="s">
        <v>173</v>
      </c>
      <c r="O28" s="387" t="s">
        <v>174</v>
      </c>
      <c r="P28" s="401" t="s">
        <v>175</v>
      </c>
      <c r="Q28" s="402" t="s">
        <v>176</v>
      </c>
    </row>
    <row r="29" spans="2:17">
      <c r="B29" s="256"/>
      <c r="C29" s="136" t="s">
        <v>182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182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331</v>
      </c>
      <c r="D30" s="7"/>
      <c r="E30" s="407" t="s">
        <v>332</v>
      </c>
      <c r="F30" s="391" t="s">
        <v>339</v>
      </c>
      <c r="G30" s="391" t="s">
        <v>334</v>
      </c>
      <c r="H30" s="406" t="s">
        <v>332</v>
      </c>
      <c r="K30" s="256"/>
      <c r="L30" s="138" t="s">
        <v>331</v>
      </c>
      <c r="M30" s="7"/>
      <c r="N30" s="407" t="s">
        <v>332</v>
      </c>
      <c r="O30" s="391" t="s">
        <v>340</v>
      </c>
      <c r="P30" s="391" t="s">
        <v>334</v>
      </c>
      <c r="Q30" s="406" t="s">
        <v>332</v>
      </c>
    </row>
    <row r="31" spans="2:17">
      <c r="B31" s="256"/>
      <c r="C31" s="7"/>
      <c r="D31" s="258" t="s">
        <v>160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160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299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299</v>
      </c>
    </row>
    <row r="36" spans="2:17">
      <c r="B36" s="376"/>
      <c r="C36" s="22"/>
      <c r="D36" s="22"/>
      <c r="E36" s="414"/>
      <c r="F36" s="377" t="s">
        <v>174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174</v>
      </c>
      <c r="P36" s="377" t="b">
        <v>0</v>
      </c>
      <c r="Q36" s="378" t="b">
        <v>0</v>
      </c>
    </row>
    <row r="37" spans="2:17">
      <c r="B37" s="256"/>
      <c r="C37" s="25"/>
      <c r="D37" s="137" t="s">
        <v>181</v>
      </c>
      <c r="E37" s="401" t="s">
        <v>173</v>
      </c>
      <c r="F37" s="380" t="s">
        <v>174</v>
      </c>
      <c r="G37" s="401" t="s">
        <v>175</v>
      </c>
      <c r="H37" s="402" t="s">
        <v>176</v>
      </c>
      <c r="K37" s="256"/>
      <c r="L37" s="25"/>
      <c r="M37" s="137" t="s">
        <v>181</v>
      </c>
      <c r="N37" s="401" t="s">
        <v>173</v>
      </c>
      <c r="O37" s="380" t="s">
        <v>174</v>
      </c>
      <c r="P37" s="401" t="s">
        <v>175</v>
      </c>
      <c r="Q37" s="402" t="s">
        <v>176</v>
      </c>
    </row>
    <row r="38" spans="2:17">
      <c r="B38" s="256"/>
      <c r="C38" s="136" t="s">
        <v>183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183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331</v>
      </c>
      <c r="D39" s="233"/>
      <c r="E39" s="407" t="s">
        <v>332</v>
      </c>
      <c r="F39" s="384" t="s">
        <v>341</v>
      </c>
      <c r="G39" s="391" t="s">
        <v>334</v>
      </c>
      <c r="H39" s="406" t="s">
        <v>332</v>
      </c>
      <c r="K39" s="256"/>
      <c r="L39" s="138" t="s">
        <v>331</v>
      </c>
      <c r="M39" s="233"/>
      <c r="N39" s="407" t="s">
        <v>332</v>
      </c>
      <c r="O39" s="384" t="s">
        <v>342</v>
      </c>
      <c r="P39" s="391" t="s">
        <v>334</v>
      </c>
      <c r="Q39" s="406" t="s">
        <v>332</v>
      </c>
    </row>
    <row r="40" spans="2:17">
      <c r="B40" s="256"/>
      <c r="C40" s="138"/>
      <c r="D40" s="258" t="s">
        <v>160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160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174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174</v>
      </c>
      <c r="P42" s="377" t="b">
        <v>0</v>
      </c>
      <c r="Q42" s="378" t="b">
        <v>0</v>
      </c>
    </row>
    <row r="43" spans="2:17">
      <c r="B43" s="256"/>
      <c r="C43" s="138"/>
      <c r="D43" s="137" t="s">
        <v>181</v>
      </c>
      <c r="E43" s="401" t="s">
        <v>173</v>
      </c>
      <c r="F43" s="387" t="s">
        <v>174</v>
      </c>
      <c r="G43" s="401" t="s">
        <v>175</v>
      </c>
      <c r="H43" s="402" t="s">
        <v>176</v>
      </c>
      <c r="K43" s="256"/>
      <c r="L43" s="138"/>
      <c r="M43" s="137" t="s">
        <v>181</v>
      </c>
      <c r="N43" s="401" t="s">
        <v>173</v>
      </c>
      <c r="O43" s="387" t="s">
        <v>174</v>
      </c>
      <c r="P43" s="401" t="s">
        <v>175</v>
      </c>
      <c r="Q43" s="402" t="s">
        <v>176</v>
      </c>
    </row>
    <row r="44" spans="2:17">
      <c r="B44" s="256"/>
      <c r="C44" s="136" t="s">
        <v>182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182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331</v>
      </c>
      <c r="D45" s="7"/>
      <c r="E45" s="407" t="s">
        <v>332</v>
      </c>
      <c r="F45" s="391" t="s">
        <v>343</v>
      </c>
      <c r="G45" s="391" t="s">
        <v>334</v>
      </c>
      <c r="H45" s="406" t="s">
        <v>332</v>
      </c>
      <c r="K45" s="256"/>
      <c r="L45" s="138" t="s">
        <v>331</v>
      </c>
      <c r="M45" s="7"/>
      <c r="N45" s="407" t="s">
        <v>332</v>
      </c>
      <c r="O45" s="391" t="s">
        <v>344</v>
      </c>
      <c r="P45" s="391" t="s">
        <v>334</v>
      </c>
      <c r="Q45" s="406" t="s">
        <v>332</v>
      </c>
    </row>
    <row r="46" spans="2:17">
      <c r="B46" s="256"/>
      <c r="C46" s="7"/>
      <c r="D46" s="258" t="s">
        <v>160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160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177</v>
      </c>
      <c r="B50" s="178" t="s">
        <v>345</v>
      </c>
      <c r="C50" s="178"/>
      <c r="K50" s="178" t="s">
        <v>346</v>
      </c>
    </row>
    <row r="51" spans="1:11" ht="20">
      <c r="A51" s="178"/>
      <c r="B51" s="178" t="s">
        <v>347</v>
      </c>
      <c r="C51" s="178"/>
      <c r="K51" s="178" t="s">
        <v>348</v>
      </c>
    </row>
    <row r="52" spans="1:11" ht="20">
      <c r="A52" s="178"/>
      <c r="B52" s="178"/>
      <c r="C52" s="178"/>
    </row>
    <row r="53" spans="1:11" ht="20">
      <c r="A53" s="417" t="s">
        <v>178</v>
      </c>
      <c r="B53" s="418" t="s">
        <v>290</v>
      </c>
      <c r="C53" s="418"/>
      <c r="K53" s="178" t="s">
        <v>349</v>
      </c>
    </row>
    <row r="54" spans="1:11" ht="20">
      <c r="A54" s="178"/>
      <c r="B54" s="178"/>
      <c r="C54" s="178"/>
    </row>
    <row r="55" spans="1:11" ht="20">
      <c r="A55" s="13" t="s">
        <v>179</v>
      </c>
      <c r="B55" s="178" t="s">
        <v>350</v>
      </c>
      <c r="C55" s="178"/>
      <c r="K55" s="419" t="s">
        <v>351</v>
      </c>
    </row>
    <row r="56" spans="1:11" ht="20">
      <c r="A56" s="13"/>
      <c r="B56" s="178" t="s">
        <v>352</v>
      </c>
      <c r="C56" s="178"/>
    </row>
    <row r="57" spans="1:11" ht="20">
      <c r="A57" s="420"/>
      <c r="B57" s="421"/>
      <c r="C57" s="421"/>
      <c r="K57" s="419" t="s">
        <v>353</v>
      </c>
    </row>
    <row r="58" spans="1:11" ht="20">
      <c r="A58" s="13" t="s">
        <v>180</v>
      </c>
      <c r="B58" s="178" t="s">
        <v>354</v>
      </c>
      <c r="C58" s="178"/>
    </row>
    <row r="59" spans="1:11" ht="20">
      <c r="B59" s="178" t="s">
        <v>355</v>
      </c>
      <c r="K59" s="419" t="s">
        <v>356</v>
      </c>
    </row>
    <row r="61" spans="1:11" ht="20">
      <c r="K61" s="419" t="s">
        <v>357</v>
      </c>
    </row>
    <row r="63" spans="1:11" ht="20">
      <c r="K63" s="419" t="s">
        <v>358</v>
      </c>
    </row>
    <row r="64" spans="1:11" ht="20">
      <c r="K64" s="419" t="s">
        <v>359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2018-10-19T00:14:48Z</cp:lastPrinted>
  <dcterms:created xsi:type="dcterms:W3CDTF">2014-08-06T19:05:41Z</dcterms:created>
  <dcterms:modified xsi:type="dcterms:W3CDTF">2018-10-19T00:17:57Z</dcterms:modified>
</cp:coreProperties>
</file>